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8445" tabRatio="701" activeTab="3"/>
  </bookViews>
  <sheets>
    <sheet name="사회복지관 총괄" sheetId="1" r:id="rId1"/>
    <sheet name="재가복지총괄" sheetId="2" r:id="rId2"/>
    <sheet name="주간보호총괄" sheetId="3" r:id="rId3"/>
    <sheet name="사회복지관" sheetId="4" r:id="rId4"/>
    <sheet name="재가복지" sheetId="5" r:id="rId5"/>
    <sheet name="주간보호" sheetId="6" r:id="rId6"/>
    <sheet name="추경총괄표" sheetId="7" r:id="rId7"/>
  </sheets>
  <definedNames/>
  <calcPr fullCalcOnLoad="1"/>
</workbook>
</file>

<file path=xl/sharedStrings.xml><?xml version="1.0" encoding="utf-8"?>
<sst xmlns="http://schemas.openxmlformats.org/spreadsheetml/2006/main" count="1987" uniqueCount="1099">
  <si>
    <t>(1) 세입·세출 총괄</t>
  </si>
  <si>
    <t xml:space="preserve">          </t>
  </si>
  <si>
    <t>(단위:천원)</t>
  </si>
  <si>
    <t>세               입</t>
  </si>
  <si>
    <t>세               출</t>
  </si>
  <si>
    <t>관</t>
  </si>
  <si>
    <t>항</t>
  </si>
  <si>
    <t>목</t>
  </si>
  <si>
    <t>증감 (B-A)</t>
  </si>
  <si>
    <t>액수</t>
  </si>
  <si>
    <t>비율(%)</t>
  </si>
  <si>
    <t>계</t>
  </si>
  <si>
    <t>01  사무비</t>
  </si>
  <si>
    <t>소계</t>
  </si>
  <si>
    <t>11 인건비</t>
  </si>
  <si>
    <t>07   이월금</t>
  </si>
  <si>
    <t>71 이월금</t>
  </si>
  <si>
    <t>131 여비</t>
  </si>
  <si>
    <t>81 잡수입</t>
  </si>
  <si>
    <t>133 공공요금</t>
  </si>
  <si>
    <t>813 기타잡수입</t>
  </si>
  <si>
    <t>134 제세공과금</t>
  </si>
  <si>
    <t>33 사업비</t>
  </si>
  <si>
    <t>71 잡지출</t>
  </si>
  <si>
    <t>711 잡지출</t>
  </si>
  <si>
    <t>113 일용잡금</t>
  </si>
  <si>
    <t>132 수용비 및 수수료</t>
  </si>
  <si>
    <t>21 시설비</t>
  </si>
  <si>
    <t>211 시설비</t>
  </si>
  <si>
    <t>212 자산취득비</t>
  </si>
  <si>
    <t>213 시설장비유지비</t>
  </si>
  <si>
    <t>11 사회복지관 인건비</t>
  </si>
  <si>
    <t>12 업무추진비</t>
  </si>
  <si>
    <t>121 기관운영비</t>
  </si>
  <si>
    <t>122 직책보조비</t>
  </si>
  <si>
    <t>123 회의비</t>
  </si>
  <si>
    <t>06  전입금</t>
  </si>
  <si>
    <t>61 법인전입금</t>
  </si>
  <si>
    <t>81 예비비</t>
  </si>
  <si>
    <t>811 예비비</t>
  </si>
  <si>
    <t>소   계</t>
  </si>
  <si>
    <t>(단위 : 천원)</t>
  </si>
  <si>
    <t>증감(B-A)</t>
  </si>
  <si>
    <t>2006년 예산산출내역</t>
  </si>
  <si>
    <t>비율</t>
  </si>
  <si>
    <t>01 사무비</t>
  </si>
  <si>
    <t>ㅇ 급여</t>
  </si>
  <si>
    <t>ㅇ 기말수당</t>
  </si>
  <si>
    <t>*200%=</t>
  </si>
  <si>
    <t>*400%=</t>
  </si>
  <si>
    <t>*100%*2월=</t>
  </si>
  <si>
    <t>ㅇ 제수당</t>
  </si>
  <si>
    <t>*20%=</t>
  </si>
  <si>
    <t>*12월=</t>
  </si>
  <si>
    <t>*50%=</t>
  </si>
  <si>
    <t>*25%=</t>
  </si>
  <si>
    <t>가족수당</t>
  </si>
  <si>
    <t>장기근속수당</t>
  </si>
  <si>
    <t>*12명*12월=</t>
  </si>
  <si>
    <t>*2명*12월=</t>
  </si>
  <si>
    <t>*1명*12월=</t>
  </si>
  <si>
    <t>112    상여금</t>
  </si>
  <si>
    <t>114    제수당</t>
  </si>
  <si>
    <t>*1/12=</t>
  </si>
  <si>
    <t>국민건강보험료</t>
  </si>
  <si>
    <t>ㅇ 퇴직적립금</t>
  </si>
  <si>
    <t>ㅇ 사회보험부담금</t>
  </si>
  <si>
    <t>ㅇ 종사자특별수당</t>
  </si>
  <si>
    <t>*3.94%=</t>
  </si>
  <si>
    <t>111    급  여</t>
  </si>
  <si>
    <t>115   퇴직금 및</t>
  </si>
  <si>
    <t xml:space="preserve">       퇴직적립금</t>
  </si>
  <si>
    <t>116  사회보험부담금</t>
  </si>
  <si>
    <t>117  기타후생경비</t>
  </si>
  <si>
    <t>118  종사자특별수당</t>
  </si>
  <si>
    <t>11 장애아동 인건비</t>
  </si>
  <si>
    <t>1. 사회복지사(4)</t>
  </si>
  <si>
    <t xml:space="preserve">   사회복지사(5)</t>
  </si>
  <si>
    <t>*65%=</t>
  </si>
  <si>
    <t>*70%=</t>
  </si>
  <si>
    <t>*12월*1명=</t>
  </si>
  <si>
    <t>*6월=</t>
  </si>
  <si>
    <t>11 이동목욕인건비</t>
  </si>
  <si>
    <t>1. 사회복지사(5)</t>
  </si>
  <si>
    <t>*70%*2월=</t>
  </si>
  <si>
    <t>이동목욕보조</t>
  </si>
  <si>
    <t>*50%*2월=</t>
  </si>
  <si>
    <t>*25%*2월=</t>
  </si>
  <si>
    <t>12   업무추진비</t>
  </si>
  <si>
    <t>122  직책보조비</t>
  </si>
  <si>
    <t>123  회  의  비</t>
  </si>
  <si>
    <t>ㅇ 기관운영비</t>
  </si>
  <si>
    <t>ㅇ 직책보조비</t>
  </si>
  <si>
    <t>ㅇ 회의비</t>
  </si>
  <si>
    <t>13  사회복지관운영비</t>
  </si>
  <si>
    <t>ㅇ 출장비</t>
  </si>
  <si>
    <t>ㅇ 수용비 및 수수료</t>
  </si>
  <si>
    <t>사무용품비</t>
  </si>
  <si>
    <t>*10월=</t>
  </si>
  <si>
    <t>기타수용비</t>
  </si>
  <si>
    <t>소식지제작비</t>
  </si>
  <si>
    <t>*4회=</t>
  </si>
  <si>
    <t>전기요금</t>
  </si>
  <si>
    <t>전화요금</t>
  </si>
  <si>
    <t>도시가스요금</t>
  </si>
  <si>
    <t>관리비</t>
  </si>
  <si>
    <t>PC통신비</t>
  </si>
  <si>
    <t>*1회</t>
  </si>
  <si>
    <t>ㅇ 제세공과금</t>
  </si>
  <si>
    <t>*1회=</t>
  </si>
  <si>
    <t>ㅇ 공공요금</t>
  </si>
  <si>
    <t>13  이동목욕운영비</t>
  </si>
  <si>
    <t>환경개선부담금</t>
  </si>
  <si>
    <t xml:space="preserve">   조성비</t>
  </si>
  <si>
    <t>ㅇ 시설비</t>
  </si>
  <si>
    <t>ㅇ 자산취득비</t>
  </si>
  <si>
    <t>ㅇ 시설장비유지비</t>
  </si>
  <si>
    <t>03 사업비</t>
  </si>
  <si>
    <t>ㅇ 난방비</t>
  </si>
  <si>
    <t>33 사회복지관사업비</t>
  </si>
  <si>
    <t>335 가족복지사업 계</t>
  </si>
  <si>
    <t>가족복지사업</t>
  </si>
  <si>
    <t>1. 가족관계증진사업</t>
  </si>
  <si>
    <t>상담</t>
  </si>
  <si>
    <t>부모교육</t>
  </si>
  <si>
    <t>부모,아동심리검사</t>
  </si>
  <si>
    <t>4. 부양가족지원사업</t>
  </si>
  <si>
    <t>*2회=</t>
  </si>
  <si>
    <t>ㅇ 부모아동심리검사</t>
  </si>
  <si>
    <t>*20명=</t>
  </si>
  <si>
    <t>ㅇ 진로탐색프로그램</t>
  </si>
  <si>
    <t>1. 급식서비스</t>
  </si>
  <si>
    <t>경로식당</t>
  </si>
  <si>
    <t>식사배달사업</t>
  </si>
  <si>
    <t>ㅇ 경로식당운영</t>
  </si>
  <si>
    <t>ㅇ 식사배달사업</t>
  </si>
  <si>
    <t>별도회계</t>
  </si>
  <si>
    <t>지역사회보호사업</t>
  </si>
  <si>
    <t>내과진료</t>
  </si>
  <si>
    <t>외과진료</t>
  </si>
  <si>
    <t>물리치료</t>
  </si>
  <si>
    <t>내과진료차량지원</t>
  </si>
  <si>
    <t>외과진료차량지원</t>
  </si>
  <si>
    <t>물리치료차량지원</t>
  </si>
  <si>
    <t>3. 경제적 지원</t>
  </si>
  <si>
    <t>생활비지원사업</t>
  </si>
  <si>
    <t>후원물품제공</t>
  </si>
  <si>
    <t>의료비지원사업</t>
  </si>
  <si>
    <t>교육비지원사업</t>
  </si>
  <si>
    <t>4. 일상생활지원</t>
  </si>
  <si>
    <t>집수리사업</t>
  </si>
  <si>
    <t>이미용서비스제공</t>
  </si>
  <si>
    <t>휠체어대여</t>
  </si>
  <si>
    <t>5. 정서서비스</t>
  </si>
  <si>
    <t>말벗.안부전화</t>
  </si>
  <si>
    <t>6. 일시보호서비스</t>
  </si>
  <si>
    <t>336 지역사회보호사업 계</t>
  </si>
  <si>
    <t>337 지역사회조직사업 계</t>
  </si>
  <si>
    <t>1. 주민조직강화</t>
  </si>
  <si>
    <t xml:space="preserve">    및 교육사업</t>
  </si>
  <si>
    <t>후원회관리</t>
  </si>
  <si>
    <t>장애인 모임</t>
  </si>
  <si>
    <t>지역사회조직사업</t>
  </si>
  <si>
    <t>지역주민대표자간담회</t>
  </si>
  <si>
    <t>우정회 월례회</t>
  </si>
  <si>
    <t>* 2회=</t>
  </si>
  <si>
    <t>*12회=</t>
  </si>
  <si>
    <t>실습생지도사업</t>
  </si>
  <si>
    <t>자문위원회</t>
  </si>
  <si>
    <t>서구지역사회복지기관 간담회</t>
  </si>
  <si>
    <t>사회복지전담공무원간담회</t>
  </si>
  <si>
    <t>관리소장간담회</t>
  </si>
  <si>
    <t>4. 주민복지증진사업</t>
  </si>
  <si>
    <t>둔산어르신한마당잔치</t>
  </si>
  <si>
    <t>사랑의김장나누기축제</t>
  </si>
  <si>
    <t>설맞이잔치</t>
  </si>
  <si>
    <t>한가위잔치</t>
  </si>
  <si>
    <t>홈페이지관리사업</t>
  </si>
  <si>
    <t>지역주민편의시설제공</t>
  </si>
  <si>
    <t>새터민지원사업</t>
  </si>
  <si>
    <t>소직지발간사업</t>
  </si>
  <si>
    <t xml:space="preserve">    후원자 발굴사업</t>
  </si>
  <si>
    <t>자원봉사자관리</t>
  </si>
  <si>
    <t>자원봉사자캠프</t>
  </si>
  <si>
    <t>자원봉사단월례회</t>
  </si>
  <si>
    <t>후원자개발</t>
  </si>
  <si>
    <t>CMS후원자개발,관리</t>
  </si>
  <si>
    <t>보증보험료</t>
  </si>
  <si>
    <t>금융결재원수수료</t>
  </si>
  <si>
    <t>338 교육문화사업  계</t>
  </si>
  <si>
    <t>아동컴퓨터교실</t>
  </si>
  <si>
    <t>홍보비</t>
  </si>
  <si>
    <t>한글교실</t>
  </si>
  <si>
    <t>청소년댄스동아리</t>
  </si>
  <si>
    <t>둔산영화관</t>
  </si>
  <si>
    <t>청소년문화체험캠프</t>
  </si>
  <si>
    <t>*년1회=</t>
  </si>
  <si>
    <t>339 자활사업   계</t>
  </si>
  <si>
    <t>2. 취업알선</t>
  </si>
  <si>
    <t>직업능력개발강좌</t>
  </si>
  <si>
    <t>시설견학</t>
  </si>
  <si>
    <t>홍보비,사업비</t>
  </si>
  <si>
    <t>그룹교육</t>
  </si>
  <si>
    <t>간식비</t>
  </si>
  <si>
    <t>교육재료비</t>
  </si>
  <si>
    <t>적응훈련</t>
  </si>
  <si>
    <t>33 장애아동탁아방사업</t>
  </si>
  <si>
    <t>340 장애아동사업 계</t>
  </si>
  <si>
    <t>봄,가을 소풍</t>
  </si>
  <si>
    <t>캠프</t>
  </si>
  <si>
    <t>어린이날 행사</t>
  </si>
  <si>
    <t>성탄절 행사</t>
  </si>
  <si>
    <t>목욕서비스</t>
  </si>
  <si>
    <t>장애아동탁아방사업</t>
  </si>
  <si>
    <t>33 이동목욕서비스사업</t>
  </si>
  <si>
    <t>이동목욕서비스사업</t>
  </si>
  <si>
    <t>33 기타외부지원사업비</t>
  </si>
  <si>
    <t>341 이동목욕사업계</t>
  </si>
  <si>
    <t>인건비</t>
  </si>
  <si>
    <t>퇴직적립금</t>
  </si>
  <si>
    <t>산재보험</t>
  </si>
  <si>
    <t>사업비</t>
  </si>
  <si>
    <t>전용회선비</t>
  </si>
  <si>
    <t>물품구입비</t>
  </si>
  <si>
    <t>*4.5%=</t>
  </si>
  <si>
    <t>0.9%=</t>
  </si>
  <si>
    <t>0.5%=</t>
  </si>
  <si>
    <t>343 경로식당사업비</t>
  </si>
  <si>
    <t>347 사랑의저녁도시락사업비</t>
  </si>
  <si>
    <t>346 어린이야간보호사업비</t>
  </si>
  <si>
    <t>345 신노인건강교실사업비</t>
  </si>
  <si>
    <t>344 재가노인식사배달사업비</t>
  </si>
  <si>
    <t>349 경로당활성화사업비</t>
  </si>
  <si>
    <t>350 사랑의집수리사업비</t>
  </si>
  <si>
    <t xml:space="preserve">   상환금</t>
  </si>
  <si>
    <t>61 부채상환금</t>
  </si>
  <si>
    <t>07 잡지출</t>
  </si>
  <si>
    <t>잡지출</t>
  </si>
  <si>
    <t>08 예비비</t>
  </si>
  <si>
    <t>원금상환금</t>
  </si>
  <si>
    <t>(3) 사회복지관 세출내역</t>
  </si>
  <si>
    <t>04 보조금</t>
  </si>
  <si>
    <t xml:space="preserve">    수   입</t>
  </si>
  <si>
    <t>사업수입</t>
  </si>
  <si>
    <t>43 후원금수입</t>
  </si>
  <si>
    <t>441 후원금</t>
  </si>
  <si>
    <t>후원금수입</t>
  </si>
  <si>
    <t>05 차입금</t>
  </si>
  <si>
    <t>51 차입금</t>
  </si>
  <si>
    <t>06 전입금</t>
  </si>
  <si>
    <t>07 이월금</t>
  </si>
  <si>
    <t>08 잡수입</t>
  </si>
  <si>
    <t>812 이자수입</t>
  </si>
  <si>
    <t>기타수입(자판기수입 등)</t>
  </si>
  <si>
    <t>잡수입</t>
  </si>
  <si>
    <t>134 제세공과금</t>
  </si>
  <si>
    <t>135 차량비</t>
  </si>
  <si>
    <t>차량유류비</t>
  </si>
  <si>
    <t>차량유지보수비</t>
  </si>
  <si>
    <t>343 주민교육사업</t>
  </si>
  <si>
    <t>711 전년도이월금</t>
  </si>
  <si>
    <t>(3) 둔산실비주간보호센타 세출내역</t>
  </si>
  <si>
    <t>한국재가노인복지협회비</t>
  </si>
  <si>
    <t>33 사업비</t>
  </si>
  <si>
    <t>118 종사자특별수당</t>
  </si>
  <si>
    <t>13 사회복지관운영비</t>
  </si>
  <si>
    <t>343 경로식당사업비</t>
  </si>
  <si>
    <t>348 새터민지원사업비</t>
  </si>
  <si>
    <t>33 장애아동</t>
  </si>
  <si>
    <t>711 전년도이월금</t>
  </si>
  <si>
    <t>118 종사자특별수당</t>
  </si>
  <si>
    <t>132 수용비 및 수수료</t>
  </si>
  <si>
    <t>343 주민교육사업</t>
  </si>
  <si>
    <t>344 홍보사업</t>
  </si>
  <si>
    <t>01 입소자</t>
  </si>
  <si>
    <t xml:space="preserve">   부담금</t>
  </si>
  <si>
    <t>111 입소비용수입</t>
  </si>
  <si>
    <t>135 차량비</t>
  </si>
  <si>
    <t>411 종사자특별수당</t>
  </si>
  <si>
    <t>프로그램운영비</t>
  </si>
  <si>
    <t>후원금</t>
  </si>
  <si>
    <t>411 재가복지인건비</t>
  </si>
  <si>
    <t>(3) 재가복지봉사센터 세출내역</t>
  </si>
  <si>
    <t>세               입</t>
  </si>
  <si>
    <t>세               출</t>
  </si>
  <si>
    <t>관</t>
  </si>
  <si>
    <t>항</t>
  </si>
  <si>
    <t>목</t>
  </si>
  <si>
    <t>증감 (B-A)</t>
  </si>
  <si>
    <t>액수</t>
  </si>
  <si>
    <t>비율(%)</t>
  </si>
  <si>
    <t>2006년  세입 총계</t>
  </si>
  <si>
    <t>2006년 세출 총계</t>
  </si>
  <si>
    <t>02 사업수입</t>
  </si>
  <si>
    <t>계</t>
  </si>
  <si>
    <t>01  사무비</t>
  </si>
  <si>
    <t>21 사업수입</t>
  </si>
  <si>
    <t>소계</t>
  </si>
  <si>
    <t>11 사회복지관</t>
  </si>
  <si>
    <t>111 급여</t>
  </si>
  <si>
    <t>112 상여금</t>
  </si>
  <si>
    <t>114 제수당</t>
  </si>
  <si>
    <t>115 퇴직금 및 퇴직적립금</t>
  </si>
  <si>
    <t>계</t>
  </si>
  <si>
    <t>116 사회보험부담금</t>
  </si>
  <si>
    <t>41 경상보조금</t>
  </si>
  <si>
    <t>소계</t>
  </si>
  <si>
    <t>117 기타후생경비</t>
  </si>
  <si>
    <t>411 사회복지관 인건비</t>
  </si>
  <si>
    <t>118 종사자특별수당</t>
  </si>
  <si>
    <t>411 장애아동 인건비</t>
  </si>
  <si>
    <t>11 장애아동</t>
  </si>
  <si>
    <t>411 이동목욕차 인건비</t>
  </si>
  <si>
    <t>111 급여</t>
  </si>
  <si>
    <t>411 종사자수당</t>
  </si>
  <si>
    <t>112 상여금</t>
  </si>
  <si>
    <t>412 사회복지관 운영비</t>
  </si>
  <si>
    <t>114 제수당</t>
  </si>
  <si>
    <t>412 장애아동 운영비</t>
  </si>
  <si>
    <t>412 이동목욕 운영비</t>
  </si>
  <si>
    <t>412 프로그램운영비</t>
  </si>
  <si>
    <t>43 기타보조금</t>
  </si>
  <si>
    <t>431 경로식당</t>
  </si>
  <si>
    <t>431 식사배달</t>
  </si>
  <si>
    <t>431 사랑의저녁도시락</t>
  </si>
  <si>
    <t>11 이동목욕</t>
  </si>
  <si>
    <t>431 새터민지원사업</t>
  </si>
  <si>
    <t>세               입</t>
  </si>
  <si>
    <t>세               출</t>
  </si>
  <si>
    <t>관</t>
  </si>
  <si>
    <t>항</t>
  </si>
  <si>
    <t>목</t>
  </si>
  <si>
    <t>증감 (B-A)</t>
  </si>
  <si>
    <t>액수</t>
  </si>
  <si>
    <t>비율(%)</t>
  </si>
  <si>
    <t>432 장애인정보화사업비</t>
  </si>
  <si>
    <t>432 신노인건강교실</t>
  </si>
  <si>
    <t>113 일용잡금</t>
  </si>
  <si>
    <t>432 어린이야간보호사업</t>
  </si>
  <si>
    <t>432 사랑의집수리사업</t>
  </si>
  <si>
    <t>432 경로당활성화사업</t>
  </si>
  <si>
    <t>44 후원금수입</t>
  </si>
  <si>
    <t>512 개인차입금</t>
  </si>
  <si>
    <t>611 법인전입금</t>
  </si>
  <si>
    <t>132 수용비 및 수수료</t>
  </si>
  <si>
    <t>711 사회복지관</t>
  </si>
  <si>
    <t>133 공공요금</t>
  </si>
  <si>
    <t>711 장애아동</t>
  </si>
  <si>
    <t>134 제세공과금</t>
  </si>
  <si>
    <t>711 이동목욕</t>
  </si>
  <si>
    <t>137 직원연수.교육</t>
  </si>
  <si>
    <t>08  잡수입</t>
  </si>
  <si>
    <t>계</t>
  </si>
  <si>
    <t>소계</t>
  </si>
  <si>
    <t>81 잡수입</t>
  </si>
  <si>
    <t>02 재  산</t>
  </si>
  <si>
    <t>812 이자수입</t>
  </si>
  <si>
    <t>조 성 비</t>
  </si>
  <si>
    <t>21 시설비</t>
  </si>
  <si>
    <t>813 기타잡수입</t>
  </si>
  <si>
    <t>211 시설비</t>
  </si>
  <si>
    <t>212 자산취득비</t>
  </si>
  <si>
    <t>213 시설장비유지비</t>
  </si>
  <si>
    <t>세               입</t>
  </si>
  <si>
    <t>세               출</t>
  </si>
  <si>
    <t>관</t>
  </si>
  <si>
    <t>항</t>
  </si>
  <si>
    <t>목</t>
  </si>
  <si>
    <t>증감 (B-A)</t>
  </si>
  <si>
    <t>액수</t>
  </si>
  <si>
    <t>비율(%)</t>
  </si>
  <si>
    <t>03  사업비</t>
  </si>
  <si>
    <t>계</t>
  </si>
  <si>
    <t>31 운영비</t>
  </si>
  <si>
    <t>소계</t>
  </si>
  <si>
    <t>319 연료비</t>
  </si>
  <si>
    <t>33 사회복지관</t>
  </si>
  <si>
    <t>사업비</t>
  </si>
  <si>
    <t>335 가족복지사업</t>
  </si>
  <si>
    <t>338 교육문화사업</t>
  </si>
  <si>
    <t>339 자활사업</t>
  </si>
  <si>
    <t>33 이동목욕</t>
  </si>
  <si>
    <t>차량유지관리비</t>
  </si>
  <si>
    <t>목욕서비스</t>
  </si>
  <si>
    <t>자원봉사자관리</t>
  </si>
  <si>
    <t>33 기타사업비</t>
  </si>
  <si>
    <t>344 재가노인식사배달사업비</t>
  </si>
  <si>
    <t>345 신노인건강교실사업비</t>
  </si>
  <si>
    <t>346 어린이야간보호사업비</t>
  </si>
  <si>
    <t>347 사랑의저녁도시락사업비</t>
  </si>
  <si>
    <t>348 새터민지원사업비</t>
  </si>
  <si>
    <t>349 경로당활성화사업비</t>
  </si>
  <si>
    <t>350 사랑의집수리사업비</t>
  </si>
  <si>
    <t>06 부채</t>
  </si>
  <si>
    <t xml:space="preserve">  상환금</t>
  </si>
  <si>
    <t>61 부채상환금</t>
  </si>
  <si>
    <t>611 원금상환금</t>
  </si>
  <si>
    <t>07  잡지출</t>
  </si>
  <si>
    <t>71 잡지출</t>
  </si>
  <si>
    <t>711 잡지출</t>
  </si>
  <si>
    <t>08  예비비</t>
  </si>
  <si>
    <t>81 예비비</t>
  </si>
  <si>
    <t>811 예비비</t>
  </si>
  <si>
    <t>(단위:천원)</t>
  </si>
  <si>
    <t>세               입</t>
  </si>
  <si>
    <t>세               출</t>
  </si>
  <si>
    <t>관</t>
  </si>
  <si>
    <t>항</t>
  </si>
  <si>
    <t>목</t>
  </si>
  <si>
    <t>증감 (B-A)</t>
  </si>
  <si>
    <t>액수</t>
  </si>
  <si>
    <t>비율(%)</t>
  </si>
  <si>
    <t>04 보조금</t>
  </si>
  <si>
    <t>계</t>
  </si>
  <si>
    <t>01  사무비</t>
  </si>
  <si>
    <t xml:space="preserve">   수입</t>
  </si>
  <si>
    <t>41 경상보조금</t>
  </si>
  <si>
    <t>소계</t>
  </si>
  <si>
    <t>11 인건비</t>
  </si>
  <si>
    <t>111 급여</t>
  </si>
  <si>
    <t>411 종사자수당</t>
  </si>
  <si>
    <t>112 상여금</t>
  </si>
  <si>
    <t>412 재가복지운영비</t>
  </si>
  <si>
    <t>114 제수당</t>
  </si>
  <si>
    <t>115 퇴지금 및 퇴직적립금</t>
  </si>
  <si>
    <t>44 후원금수입</t>
  </si>
  <si>
    <t>116 사회보험부담금</t>
  </si>
  <si>
    <t>441 후원금수입</t>
  </si>
  <si>
    <t>117 기타후생경비</t>
  </si>
  <si>
    <t>07 이월금</t>
  </si>
  <si>
    <t>71 이월금</t>
  </si>
  <si>
    <t>13 운영비</t>
  </si>
  <si>
    <t>131 여비</t>
  </si>
  <si>
    <t>08 잡수입</t>
  </si>
  <si>
    <t>81 잡수입</t>
  </si>
  <si>
    <t>812 수입이자</t>
  </si>
  <si>
    <t>813 기타잡수입</t>
  </si>
  <si>
    <t>136 직원연수 및 직원교육</t>
  </si>
  <si>
    <t>02 재산조성비</t>
  </si>
  <si>
    <t>21 시설비</t>
  </si>
  <si>
    <t>211 시설비</t>
  </si>
  <si>
    <t>03  사업비</t>
  </si>
  <si>
    <t>335 대상자관리사업</t>
  </si>
  <si>
    <t>336 가사서비스사업</t>
  </si>
  <si>
    <t>337 정서적서비스</t>
  </si>
  <si>
    <t>339 간병서비스사업</t>
  </si>
  <si>
    <t>340 사회적서비스</t>
  </si>
  <si>
    <t>342 결연사업 및 후원활동</t>
  </si>
  <si>
    <t>344 홍보사업</t>
  </si>
  <si>
    <t>08 예비비</t>
  </si>
  <si>
    <t>81 예비비</t>
  </si>
  <si>
    <t>811 예비비</t>
  </si>
  <si>
    <t>11 입소비용수입</t>
  </si>
  <si>
    <t>04 보조금</t>
  </si>
  <si>
    <t xml:space="preserve">   수입</t>
  </si>
  <si>
    <t>41 보조금수입</t>
  </si>
  <si>
    <t>113 일용잡금</t>
  </si>
  <si>
    <t>412 운영보조금</t>
  </si>
  <si>
    <t>115 퇴직금 및 퇴직적립금</t>
  </si>
  <si>
    <t>44  후원금수입</t>
  </si>
  <si>
    <t>116 사회보험부담금</t>
  </si>
  <si>
    <t>441 후원금수입</t>
  </si>
  <si>
    <t>117 기타후생경비</t>
  </si>
  <si>
    <t>118 종사자수당</t>
  </si>
  <si>
    <t>13 운영비</t>
  </si>
  <si>
    <t>07 이월금</t>
  </si>
  <si>
    <t>131 여비</t>
  </si>
  <si>
    <t>71 이월금</t>
  </si>
  <si>
    <t>132 수용비 및 수수료</t>
  </si>
  <si>
    <t>711 전년도이월금</t>
  </si>
  <si>
    <t>133 공공요금</t>
  </si>
  <si>
    <t>08  잡수입</t>
  </si>
  <si>
    <t>134 제세공과금</t>
  </si>
  <si>
    <t>81 잡수입</t>
  </si>
  <si>
    <t>811 수입이자</t>
  </si>
  <si>
    <t>135 차량비</t>
  </si>
  <si>
    <t>세               입</t>
  </si>
  <si>
    <t>세               출</t>
  </si>
  <si>
    <t>관</t>
  </si>
  <si>
    <t>항</t>
  </si>
  <si>
    <t>목</t>
  </si>
  <si>
    <t>증감 (B-A)</t>
  </si>
  <si>
    <t>액수</t>
  </si>
  <si>
    <t>비율(%)</t>
  </si>
  <si>
    <t>02 재산</t>
  </si>
  <si>
    <t>조성비</t>
  </si>
  <si>
    <t>21 시설비</t>
  </si>
  <si>
    <t>211 시설비</t>
  </si>
  <si>
    <t>212 자산취득비</t>
  </si>
  <si>
    <t>213 시설장비유지비</t>
  </si>
  <si>
    <t>03 사업비</t>
  </si>
  <si>
    <t>311 생계비</t>
  </si>
  <si>
    <t>33 사업비</t>
  </si>
  <si>
    <t>335 사업비</t>
  </si>
  <si>
    <t>07 잡지출</t>
  </si>
  <si>
    <t>2006년 세출총계</t>
  </si>
  <si>
    <t>ㅇ 정근수당</t>
  </si>
  <si>
    <t>직무수당</t>
  </si>
  <si>
    <t>가계보조비</t>
  </si>
  <si>
    <t>효도휴가비</t>
  </si>
  <si>
    <t>체력단련비</t>
  </si>
  <si>
    <t>직책수당</t>
  </si>
  <si>
    <t>국민연금</t>
  </si>
  <si>
    <t>고용보험</t>
  </si>
  <si>
    <t>ㅇ 기타후생경비</t>
  </si>
  <si>
    <t>급량비</t>
  </si>
  <si>
    <t>교통비</t>
  </si>
  <si>
    <t>야근식대비</t>
  </si>
  <si>
    <t>113   일용잡금</t>
  </si>
  <si>
    <t>ㅇ 일용잡금</t>
  </si>
  <si>
    <t>121  기관운영비</t>
  </si>
  <si>
    <t>ㅇ 수용비 및 수수료</t>
  </si>
  <si>
    <t>*2월=</t>
  </si>
  <si>
    <t>화재보험료(동산)</t>
  </si>
  <si>
    <t>화재보험료(부동산)</t>
  </si>
  <si>
    <t>136 직원연수 및 직원교육</t>
  </si>
  <si>
    <t>직원연수</t>
  </si>
  <si>
    <t>직원교육</t>
  </si>
  <si>
    <t>직원인센티브제</t>
  </si>
  <si>
    <t>차량보험료</t>
  </si>
  <si>
    <t>자동차세</t>
  </si>
  <si>
    <t>운전자보험료</t>
  </si>
  <si>
    <t>책임보험료</t>
  </si>
  <si>
    <t>02 재  산</t>
  </si>
  <si>
    <t>사무기기 구입</t>
  </si>
  <si>
    <t>31 운영비</t>
  </si>
  <si>
    <t>319 연료비</t>
  </si>
  <si>
    <t>2. 가족기능보완사업</t>
  </si>
  <si>
    <t>방과후아동보호</t>
  </si>
  <si>
    <t>현장학습</t>
  </si>
  <si>
    <t>자원봉사활동비</t>
  </si>
  <si>
    <t>청소년열린학교</t>
  </si>
  <si>
    <t>ㅇ 청소년열린학교</t>
  </si>
  <si>
    <t>진로탐색프로그램</t>
  </si>
  <si>
    <t>3. 가정문제해결치료</t>
  </si>
  <si>
    <t>학교사회사업</t>
  </si>
  <si>
    <t>ㅇ 학교사회사업</t>
  </si>
  <si>
    <t>*3회=</t>
  </si>
  <si>
    <t>장애인가정지원사업</t>
  </si>
  <si>
    <t>장애인간담회</t>
  </si>
  <si>
    <t>2. 보건의료서비스</t>
  </si>
  <si>
    <t>영정사진지원사업</t>
  </si>
  <si>
    <t>대민지원(심부름)</t>
  </si>
  <si>
    <t>노인실비주간보호</t>
  </si>
  <si>
    <t>희망공동체월례회</t>
  </si>
  <si>
    <t>장애인사회적응캠프</t>
  </si>
  <si>
    <t>2. 복지네트워크</t>
  </si>
  <si>
    <t>지역주민욕구조사</t>
  </si>
  <si>
    <t xml:space="preserve">   구축   사업</t>
  </si>
  <si>
    <t>둔산가족만남의밤</t>
  </si>
  <si>
    <t>5. 자원봉사자양성 및</t>
  </si>
  <si>
    <t>자원봉사자교육</t>
  </si>
  <si>
    <t>후원자개발 및 관리</t>
  </si>
  <si>
    <t>후원자관리</t>
  </si>
  <si>
    <t>교육문화사업</t>
  </si>
  <si>
    <t>1. 아동청소년 기능교육</t>
  </si>
  <si>
    <t>청소년컴퓨터교실</t>
  </si>
  <si>
    <t>타자정보사냥대회</t>
  </si>
  <si>
    <t>신노인건강교실</t>
  </si>
  <si>
    <t>5. 문화복지사업</t>
  </si>
  <si>
    <t>아동청소년기업탐방</t>
  </si>
  <si>
    <t>아동자연체험캠프</t>
  </si>
  <si>
    <t>자활사업</t>
  </si>
  <si>
    <t>1. 직업기능훈련</t>
  </si>
  <si>
    <t>주부컴퓨터 교실</t>
  </si>
  <si>
    <t>가사도우미사업</t>
  </si>
  <si>
    <t>3. 직업능력개발</t>
  </si>
  <si>
    <t>소풍</t>
  </si>
  <si>
    <t>연합캠프</t>
  </si>
  <si>
    <t>차량유지관리</t>
  </si>
  <si>
    <t>자원봉사자관리비</t>
  </si>
  <si>
    <t>342 장애인정보화사업비</t>
  </si>
  <si>
    <t>강사급여</t>
  </si>
  <si>
    <t>경로식당사업비</t>
  </si>
  <si>
    <t>새터민지원사업비</t>
  </si>
  <si>
    <t>06 부  채</t>
  </si>
  <si>
    <t>611 원금상환금</t>
  </si>
  <si>
    <t>예비비</t>
  </si>
  <si>
    <t>ㅇ 방과후아동보호</t>
  </si>
  <si>
    <t>ㅇ아동청소년컴퓨터교실</t>
  </si>
  <si>
    <t>보조금수입</t>
  </si>
  <si>
    <t>41 경상보조금수입</t>
  </si>
  <si>
    <t>이월금</t>
  </si>
  <si>
    <t>예금이자수입</t>
  </si>
  <si>
    <t>전기안전공사검사비</t>
  </si>
  <si>
    <t>대전사회복지관협회특별회비</t>
  </si>
  <si>
    <t>실업극복시민운동협회비</t>
  </si>
  <si>
    <t>한국사회복지관협회비</t>
  </si>
  <si>
    <t>대전사회복지관협회비</t>
  </si>
  <si>
    <t>대전사회복지협의회연회비</t>
  </si>
  <si>
    <t>ㅇ 직원연수 및 교육</t>
  </si>
  <si>
    <t>ㅇ 부모교육</t>
  </si>
  <si>
    <t>장애인 사회적응캠프</t>
  </si>
  <si>
    <t>지역주민대표자간담회</t>
  </si>
  <si>
    <t>홍보비(현수막제작)</t>
  </si>
  <si>
    <t>유급자원봉사활동비</t>
  </si>
  <si>
    <t>기타외부기관지원사업</t>
  </si>
  <si>
    <t>ㅇ 장애인정보화교육</t>
  </si>
  <si>
    <t>재가노인식사배달사업비</t>
  </si>
  <si>
    <t>사랑의저녁도시락사업비</t>
  </si>
  <si>
    <t>경로당활성화사업비</t>
  </si>
  <si>
    <t>사랑의집수리사업비</t>
  </si>
  <si>
    <t>*12월*7명=</t>
  </si>
  <si>
    <t>사무비</t>
  </si>
  <si>
    <t>11 재가센터 인건비</t>
  </si>
  <si>
    <t>1. 과장(18)</t>
  </si>
  <si>
    <t>2. 사회복지사(3)</t>
  </si>
  <si>
    <t>*12월*2명=</t>
  </si>
  <si>
    <t>115   퇴직금 및 퇴직적립금</t>
  </si>
  <si>
    <t>13  재가센터 운영비</t>
  </si>
  <si>
    <t>자동차보험료</t>
  </si>
  <si>
    <t>*2회</t>
  </si>
  <si>
    <t>ㅇ 차량관리유지비</t>
  </si>
  <si>
    <t>재가복지사업비</t>
  </si>
  <si>
    <t>335 대상자관리사업</t>
  </si>
  <si>
    <t>ㅇ 대상자관리사업</t>
  </si>
  <si>
    <t>상담 및 사례관리</t>
  </si>
  <si>
    <t>336 가사서비스사업</t>
  </si>
  <si>
    <t>337 정서적서비스사업</t>
  </si>
  <si>
    <t>어르신나들이</t>
  </si>
  <si>
    <t>339 간병서비스사업</t>
  </si>
  <si>
    <t>병원동행서비스</t>
  </si>
  <si>
    <t>방문간호서비스</t>
  </si>
  <si>
    <t>340 사회적서비스사업</t>
  </si>
  <si>
    <t>행정업무대행서비스</t>
  </si>
  <si>
    <t>341 자원봉사자양성관리사업</t>
  </si>
  <si>
    <t>자원봉사자간담회</t>
  </si>
  <si>
    <t>342 결연사업 및 후원활동</t>
  </si>
  <si>
    <t>후원자개발,관리</t>
  </si>
  <si>
    <t>결연금지급서비스</t>
  </si>
  <si>
    <t>홍보물제작</t>
  </si>
  <si>
    <t>ㅇ 예비비</t>
  </si>
  <si>
    <t>411 재가복지 인건비</t>
  </si>
  <si>
    <t>ㅇ 재가복지 인건비</t>
  </si>
  <si>
    <t>412 재가복지 운영비</t>
  </si>
  <si>
    <t>ㅇ 재가복지후원금</t>
  </si>
  <si>
    <t>비지정후원금(운영비지원)</t>
  </si>
  <si>
    <t>611 전입금</t>
  </si>
  <si>
    <t>전년도이월금</t>
  </si>
  <si>
    <t>ㅇ 가계지원비</t>
  </si>
  <si>
    <t>*0.7%=</t>
  </si>
  <si>
    <t>생활지도원</t>
  </si>
  <si>
    <t>간호조무사</t>
  </si>
  <si>
    <t>13  주간보호 운영비</t>
  </si>
  <si>
    <t>텔레비전유선요금</t>
  </si>
  <si>
    <t>*12회</t>
  </si>
  <si>
    <t>*6회</t>
  </si>
  <si>
    <t>*1월=</t>
  </si>
  <si>
    <t>ㅇ 차량유지관리비</t>
  </si>
  <si>
    <t>311 생계비</t>
  </si>
  <si>
    <t>ㅇ 주,부식비(9명)</t>
  </si>
  <si>
    <t>335 주간보호사업비</t>
  </si>
  <si>
    <t>도예치료</t>
  </si>
  <si>
    <t>종이접기</t>
  </si>
  <si>
    <t>발관리</t>
  </si>
  <si>
    <t>예능활동</t>
  </si>
  <si>
    <t>생신잔치</t>
  </si>
  <si>
    <t>작업치료</t>
  </si>
  <si>
    <t>인지활동</t>
  </si>
  <si>
    <t>가족간담회</t>
  </si>
  <si>
    <t>자원봉사간담회</t>
  </si>
  <si>
    <t>홍보</t>
  </si>
  <si>
    <t>ㅇ 입소자비용</t>
  </si>
  <si>
    <t>1. 생활지도원(3)</t>
  </si>
  <si>
    <t>기타잡수입</t>
  </si>
  <si>
    <t>81 예비비</t>
  </si>
  <si>
    <t>811 예비비</t>
  </si>
  <si>
    <t>04 보조금</t>
  </si>
  <si>
    <t>계</t>
  </si>
  <si>
    <t>보조금수입</t>
  </si>
  <si>
    <t xml:space="preserve">    수   입</t>
  </si>
  <si>
    <t>41 경상보조금수입</t>
  </si>
  <si>
    <t>소계</t>
  </si>
  <si>
    <t>412 종사자특별수당</t>
  </si>
  <si>
    <t>43 후원금수입</t>
  </si>
  <si>
    <t>441 후원금</t>
  </si>
  <si>
    <t>*12월=</t>
  </si>
  <si>
    <t>*10회=</t>
  </si>
  <si>
    <t>*9회=</t>
  </si>
  <si>
    <t>*4회=</t>
  </si>
  <si>
    <t>*2회=</t>
  </si>
  <si>
    <t>(단위 : 천원)</t>
  </si>
  <si>
    <t>관</t>
  </si>
  <si>
    <t>항</t>
  </si>
  <si>
    <t>목</t>
  </si>
  <si>
    <t>증감(B-A)</t>
  </si>
  <si>
    <t>2006년 예산산출내역</t>
  </si>
  <si>
    <t>액수</t>
  </si>
  <si>
    <t>비율</t>
  </si>
  <si>
    <t>2006년 세입총계</t>
  </si>
  <si>
    <t>계</t>
  </si>
  <si>
    <t>사업수입</t>
  </si>
  <si>
    <t>21 사업수입</t>
  </si>
  <si>
    <t>소계</t>
  </si>
  <si>
    <t>211 가족복지사업</t>
  </si>
  <si>
    <t>*15명=</t>
  </si>
  <si>
    <t>212 지역사회조직사업</t>
  </si>
  <si>
    <t>*30명=</t>
  </si>
  <si>
    <t>213 교육문화사업</t>
  </si>
  <si>
    <t>ㅇ 장애아동교육비</t>
  </si>
  <si>
    <t>04 보조금</t>
  </si>
  <si>
    <t>보조금수입</t>
  </si>
  <si>
    <t xml:space="preserve">    수   입</t>
  </si>
  <si>
    <t>41 경상보조금수입</t>
  </si>
  <si>
    <t>경상보조금수입</t>
  </si>
  <si>
    <t>411 사회복지관 인건비</t>
  </si>
  <si>
    <t>411 장애아동탁아방 인건비</t>
  </si>
  <si>
    <t>411 이동목욕차 인건비</t>
  </si>
  <si>
    <t>ㅇ 이동목욕차인건비</t>
  </si>
  <si>
    <t>411 종사자특별수당</t>
  </si>
  <si>
    <t>ㅇ 종사자특별수당</t>
  </si>
  <si>
    <t>412 사회복지관 운영비</t>
  </si>
  <si>
    <t>412 장애아동탁아방 운영비</t>
  </si>
  <si>
    <t>412 이동목욕차운영비</t>
  </si>
  <si>
    <t>ㅇ 이동목욕차 운영비</t>
  </si>
  <si>
    <t>412 프로그램운영비</t>
  </si>
  <si>
    <t>ㅇ 프로그램 운영비</t>
  </si>
  <si>
    <t>43 기타보조금수입</t>
  </si>
  <si>
    <t>기타보조금수입</t>
  </si>
  <si>
    <t>431 경로식당사업비</t>
  </si>
  <si>
    <t>서구청 지원</t>
  </si>
  <si>
    <t>431 식사배달사업비</t>
  </si>
  <si>
    <t>431 사랑의 저녁도시락사업비</t>
  </si>
  <si>
    <t>431 새터민지원사업비</t>
  </si>
  <si>
    <t>대전시청 지원</t>
  </si>
  <si>
    <t>432 장애인정보화사업비</t>
  </si>
  <si>
    <t>정보문화진흥원 지원</t>
  </si>
  <si>
    <t>432 신노인건강교실</t>
  </si>
  <si>
    <t>432 어린이야간보호사업비</t>
  </si>
  <si>
    <t>432 사랑의집수리사업비</t>
  </si>
  <si>
    <t>432 경로당활성화사업비</t>
  </si>
  <si>
    <t>대전교육청</t>
  </si>
  <si>
    <t>43 후원금수입</t>
  </si>
  <si>
    <t>후원금수입</t>
  </si>
  <si>
    <t>수  입</t>
  </si>
  <si>
    <t>441 후원금</t>
  </si>
  <si>
    <t>05 차입금</t>
  </si>
  <si>
    <t>51 차입금</t>
  </si>
  <si>
    <t>512 차입금</t>
  </si>
  <si>
    <t>06 전입금</t>
  </si>
  <si>
    <t>61 법인전입금</t>
  </si>
  <si>
    <t>07 이월금</t>
  </si>
  <si>
    <t>이월금</t>
  </si>
  <si>
    <t>71 이월금</t>
  </si>
  <si>
    <t>사회복지관이월금</t>
  </si>
  <si>
    <t>장애아동이월금</t>
  </si>
  <si>
    <t>이동목욕이월금</t>
  </si>
  <si>
    <t>08 잡수입</t>
  </si>
  <si>
    <t>잡수입</t>
  </si>
  <si>
    <t>81 잡수입</t>
  </si>
  <si>
    <t>812 이자수입</t>
  </si>
  <si>
    <t>예금이자수입</t>
  </si>
  <si>
    <t>813 기타잡수입</t>
  </si>
  <si>
    <t>기타수입(자판기수입 등)</t>
  </si>
  <si>
    <t>대전공동모금회 지원</t>
  </si>
  <si>
    <t>ㅇ 사회복지 관인건비</t>
  </si>
  <si>
    <t>자동차환경개선부담금</t>
  </si>
  <si>
    <t>611 사회복지관전입금</t>
  </si>
  <si>
    <t>340 장애아동사업비 계</t>
  </si>
  <si>
    <t>341 이동목욕사업비 계</t>
  </si>
  <si>
    <t>08 예비비</t>
  </si>
  <si>
    <t>2. 간호조무사(1)</t>
  </si>
  <si>
    <t>*9월=</t>
  </si>
  <si>
    <t>간호조무사 수습급여</t>
  </si>
  <si>
    <t>운전기사(회계) 수습급여</t>
  </si>
  <si>
    <t>*3월=</t>
  </si>
  <si>
    <t>*50%*4회=</t>
  </si>
  <si>
    <t>*50%*3회=</t>
  </si>
  <si>
    <t>*60%*2회=</t>
  </si>
  <si>
    <t>*50%*2회=</t>
  </si>
  <si>
    <t>가계보조수당(3)</t>
  </si>
  <si>
    <t>가계보조수당(1)</t>
  </si>
  <si>
    <t>명절휴가비(3)</t>
  </si>
  <si>
    <t>명절휴가비(1)</t>
  </si>
  <si>
    <t>특수근무수당(3)</t>
  </si>
  <si>
    <t>특수근무수당(1)</t>
  </si>
  <si>
    <t>*1명*9월=</t>
  </si>
  <si>
    <t>*2.24%=</t>
  </si>
  <si>
    <t>*3명*12월=</t>
  </si>
  <si>
    <t>ㅇ 종사자특별수당</t>
  </si>
  <si>
    <t>ㅇ주간보호운영보조금</t>
  </si>
  <si>
    <t>*0.45%=</t>
  </si>
  <si>
    <t>*8명*12월=</t>
  </si>
  <si>
    <t>ㅇ 간식비(9명)</t>
  </si>
  <si>
    <t>318 특별급식비</t>
  </si>
  <si>
    <t>2. 대리(7)</t>
  </si>
  <si>
    <t>3. 대리(7)</t>
  </si>
  <si>
    <t>2. 사회복지사(3)</t>
  </si>
  <si>
    <t>*60%*1월=</t>
  </si>
  <si>
    <t>*50%*1월=</t>
  </si>
  <si>
    <t>*25%*1월=</t>
  </si>
  <si>
    <t>*2명*2월=</t>
  </si>
  <si>
    <t>*2명*10월=</t>
  </si>
  <si>
    <t>*1명*10월=</t>
  </si>
  <si>
    <t>*80%*1월=</t>
  </si>
  <si>
    <t>*9월*1명=</t>
  </si>
  <si>
    <t>*6명*12월=</t>
  </si>
  <si>
    <t>ㅇ 급여</t>
  </si>
  <si>
    <t>1. 관장(19)</t>
  </si>
  <si>
    <t>*6월=</t>
  </si>
  <si>
    <t xml:space="preserve">   관장(20)</t>
  </si>
  <si>
    <t>2. 부장(12)</t>
  </si>
  <si>
    <t>*12월=</t>
  </si>
  <si>
    <t>3. 대리(9)</t>
  </si>
  <si>
    <t xml:space="preserve">   대리(10)</t>
  </si>
  <si>
    <t>4. 대리(7)</t>
  </si>
  <si>
    <t>*2월=</t>
  </si>
  <si>
    <t>5. 사회복지사(3)</t>
  </si>
  <si>
    <t>*4월=</t>
  </si>
  <si>
    <t xml:space="preserve">    사회복지사(4)</t>
  </si>
  <si>
    <t>6. 사회복지사(2)</t>
  </si>
  <si>
    <t xml:space="preserve">   사회복지사(3)</t>
  </si>
  <si>
    <t>*9월=</t>
  </si>
  <si>
    <t>8. 노무 (14)</t>
  </si>
  <si>
    <t>ㅇ 기말수당</t>
  </si>
  <si>
    <t>*200%=</t>
  </si>
  <si>
    <t>*400%=</t>
  </si>
  <si>
    <t>4. 사회복지사(3)</t>
  </si>
  <si>
    <t>5. 사회복지사(2)</t>
  </si>
  <si>
    <t>*300%=</t>
  </si>
  <si>
    <t>7. 노무 (14)</t>
  </si>
  <si>
    <t>ㅇ 정근수당</t>
  </si>
  <si>
    <t>*100%=</t>
  </si>
  <si>
    <t>*100%*2월=</t>
  </si>
  <si>
    <t>*90%=</t>
  </si>
  <si>
    <t>*95%=</t>
  </si>
  <si>
    <t>*80%=</t>
  </si>
  <si>
    <t>5. 사회복지사(4)</t>
  </si>
  <si>
    <t>*65%=</t>
  </si>
  <si>
    <t>*55%=</t>
  </si>
  <si>
    <t>*60%=</t>
  </si>
  <si>
    <t>7. 서무(1)</t>
  </si>
  <si>
    <t>*50%*1월=</t>
  </si>
  <si>
    <t>*11월=</t>
  </si>
  <si>
    <t>*8명*12월</t>
  </si>
  <si>
    <t>*1명*9월</t>
  </si>
  <si>
    <t>종사자특별수당여입금</t>
  </si>
  <si>
    <t>*5회=</t>
  </si>
  <si>
    <t>특별활동</t>
  </si>
  <si>
    <t>과학탐구교실</t>
  </si>
  <si>
    <t>미술활동</t>
  </si>
  <si>
    <t>*6회=</t>
  </si>
  <si>
    <t>영어체험교실</t>
  </si>
  <si>
    <t>ㅇ 별도회계</t>
  </si>
  <si>
    <t>인터넷중독예방프로그램</t>
  </si>
  <si>
    <t>ㅇ 인터넷중독예방프로그램</t>
  </si>
  <si>
    <t>장애아동통합교육</t>
  </si>
  <si>
    <t>청소년보호관찰사업</t>
  </si>
  <si>
    <t>이미용서비스</t>
  </si>
  <si>
    <t>*2회=</t>
  </si>
  <si>
    <t>경로당발전협의회간담회</t>
  </si>
  <si>
    <t>삼천동새마을부녀회간담회</t>
  </si>
  <si>
    <t>생일축하</t>
  </si>
  <si>
    <t>유류비</t>
  </si>
  <si>
    <t>*12월=</t>
  </si>
  <si>
    <t>유지보수비</t>
  </si>
  <si>
    <t>*10월=</t>
  </si>
  <si>
    <t>ㅇ 목욕서비스</t>
  </si>
  <si>
    <t>목욕서비스물품구입비</t>
  </si>
  <si>
    <t>가스구입비</t>
  </si>
  <si>
    <t>홍보팜플렛 및 현수막</t>
  </si>
  <si>
    <t>ㅇ 주부컴퓨터교실수강료</t>
  </si>
  <si>
    <t>*4명*12월=</t>
  </si>
  <si>
    <t>214 자활사업</t>
  </si>
  <si>
    <t>215 장애아동탁아방</t>
  </si>
  <si>
    <t>*4회=</t>
  </si>
  <si>
    <t>기관방문</t>
  </si>
  <si>
    <t>가사도우미교육</t>
  </si>
  <si>
    <t>가사도우미간담회</t>
  </si>
  <si>
    <t>*5명*12월=</t>
  </si>
  <si>
    <t>13  장애아동운영비</t>
  </si>
  <si>
    <t>지역주민욕구조사</t>
  </si>
  <si>
    <t>실습생지도사업</t>
  </si>
  <si>
    <t>새터민간담회</t>
  </si>
  <si>
    <t>공예교실</t>
  </si>
  <si>
    <t>요술풍선</t>
  </si>
  <si>
    <t>풍선공예자격증반</t>
  </si>
  <si>
    <t>공예교실 강사비</t>
  </si>
  <si>
    <t>*8주*4기=</t>
  </si>
  <si>
    <t>요술풍선 재료비</t>
  </si>
  <si>
    <t>*10팀=</t>
  </si>
  <si>
    <t>자격증반 강사비</t>
  </si>
  <si>
    <t>*12회*2기=</t>
  </si>
  <si>
    <t>2. 성인기능교육</t>
  </si>
  <si>
    <t>3. 어르신여가문화사업</t>
  </si>
  <si>
    <t>어학프로그램</t>
  </si>
  <si>
    <t>경로당활성화사업</t>
  </si>
  <si>
    <t>별도회계(교육청지원)</t>
  </si>
  <si>
    <t>서예교실 재료비</t>
  </si>
  <si>
    <t>한문기초 교재비</t>
  </si>
  <si>
    <t>일본어 기초 교재비</t>
  </si>
  <si>
    <t>*10권=</t>
  </si>
  <si>
    <t>수중운동 강사비</t>
  </si>
  <si>
    <t>*28회=</t>
  </si>
  <si>
    <t>수영장 입장료</t>
  </si>
  <si>
    <t>*28*14명=</t>
  </si>
  <si>
    <t>기체조 강사비</t>
  </si>
  <si>
    <t>*30회=</t>
  </si>
  <si>
    <t>건강프로그램</t>
  </si>
  <si>
    <t>장수춤체조 강사비</t>
  </si>
  <si>
    <t>교육기자재구입</t>
  </si>
  <si>
    <t>댄스스포츠 강사비</t>
  </si>
  <si>
    <t>마음을여는 은빛교실</t>
  </si>
  <si>
    <t>별도회계(공동모금회지원)</t>
  </si>
  <si>
    <t>의상및 안무연습지원</t>
  </si>
  <si>
    <t>사업준비비</t>
  </si>
  <si>
    <t>홍보비</t>
  </si>
  <si>
    <t>현수막 제작 등 홍보비</t>
  </si>
  <si>
    <t>ㅇ 아동컴퓨터교실 월회비</t>
  </si>
  <si>
    <t>ㅇ 청소년컴퓨터교실 월회비</t>
  </si>
  <si>
    <t>ㅇ 공예교실 월회비</t>
  </si>
  <si>
    <t>ㅇ 풍선공예자격증반</t>
  </si>
  <si>
    <t>ㅇ 신노인건강교실  회비</t>
  </si>
  <si>
    <t>ㅇ 아동차연체험 캠프 회비</t>
  </si>
  <si>
    <t>ㅇ 청소년자연체험캠프 회비</t>
  </si>
  <si>
    <t>*20명*4기=</t>
  </si>
  <si>
    <t>ㅇ 요술풍선 재료비</t>
  </si>
  <si>
    <t>*15명*3월*2기=</t>
  </si>
  <si>
    <t>*20명*2학기=</t>
  </si>
  <si>
    <t>*30명=</t>
  </si>
  <si>
    <t>*30명=</t>
  </si>
  <si>
    <t>ㅇ 방과후교실 간식비</t>
  </si>
  <si>
    <t>ㅇ 실습생 지도비</t>
  </si>
  <si>
    <t>351 마음을여는 은빛교실</t>
  </si>
  <si>
    <t>마음을여는은빛교실</t>
  </si>
  <si>
    <t>431 마음을여는 은빛교실</t>
  </si>
  <si>
    <t>ㅇ 장애아동탁아방 운영비</t>
  </si>
  <si>
    <t>ㅇ 사회복지관 운영비</t>
  </si>
  <si>
    <t>ㅇ 장애아동탁아방 인건비</t>
  </si>
  <si>
    <t>급식서비스</t>
  </si>
  <si>
    <t>가족지원서비스</t>
  </si>
  <si>
    <t>개별지도교육재료비</t>
  </si>
  <si>
    <t>그룹지도도서구입비</t>
  </si>
  <si>
    <t>*월2회*10월=</t>
  </si>
  <si>
    <t>*20명*1회=</t>
  </si>
  <si>
    <t>*9명=</t>
  </si>
  <si>
    <t>*9명*1회=</t>
  </si>
  <si>
    <t>가족간담회</t>
  </si>
  <si>
    <t>가족심리검사</t>
  </si>
  <si>
    <t>자원봉사자관리</t>
  </si>
  <si>
    <t>자원봉사자관리및간담회</t>
  </si>
  <si>
    <t>ㅇ 비지정후원금(사회복지관)</t>
  </si>
  <si>
    <t>ㅇ 비지정후원금(이동목욕)</t>
  </si>
  <si>
    <t>생신축하서비스</t>
  </si>
  <si>
    <t>사랑의손자손녀맺기</t>
  </si>
  <si>
    <t>338 보건의료서비스사업</t>
  </si>
  <si>
    <t>ㅇ 이미용서비스</t>
  </si>
  <si>
    <t>ㅇ 정기의료검진</t>
  </si>
  <si>
    <t>자원봉사자 관리</t>
  </si>
  <si>
    <t>자원봉사자모집</t>
  </si>
  <si>
    <t>주민건강교육</t>
  </si>
  <si>
    <t xml:space="preserve">     조성비</t>
  </si>
  <si>
    <t>ㅇ 기금조성사업</t>
  </si>
  <si>
    <t>만성질환자가정지원사업</t>
  </si>
  <si>
    <t>만성질환자 건강교육</t>
  </si>
  <si>
    <t>11 주간보호인건비</t>
  </si>
  <si>
    <t>02 사업수입</t>
  </si>
  <si>
    <t>(2) 둔산실비주간보호센타 세입내역</t>
  </si>
  <si>
    <t xml:space="preserve">     수     입</t>
  </si>
  <si>
    <t xml:space="preserve">     인건비</t>
  </si>
  <si>
    <t>116 사회보험부담금</t>
  </si>
  <si>
    <t>117 기타후생경비</t>
  </si>
  <si>
    <t>118 종사자특별수당</t>
  </si>
  <si>
    <t>336 지역사회보호사업</t>
  </si>
  <si>
    <t>337 지역사회조직사업</t>
  </si>
  <si>
    <t>342 장애인정보화교육</t>
  </si>
  <si>
    <t>211 가족복지</t>
  </si>
  <si>
    <t>212 지역사회조직</t>
  </si>
  <si>
    <t>213 교육문화</t>
  </si>
  <si>
    <t>214 자활사업</t>
  </si>
  <si>
    <t>215 장애아동</t>
  </si>
  <si>
    <t>13 장애아동 운영비</t>
  </si>
  <si>
    <t>13 이동목욕 운영비</t>
  </si>
  <si>
    <t>홍보비</t>
  </si>
  <si>
    <t>431 마음을여는은빛교실</t>
  </si>
  <si>
    <t>441 후원금</t>
  </si>
  <si>
    <t>318 특별급식비</t>
  </si>
  <si>
    <t>338 보건의료서비스사업</t>
  </si>
  <si>
    <t>341 자원봉사양성관리</t>
  </si>
  <si>
    <t>(2) 사회복지관 세입내역</t>
  </si>
  <si>
    <t>(2) 재가복지봉사센터 세입내역</t>
  </si>
  <si>
    <t>2006년 세입.세출  추경예산 총괄표</t>
  </si>
  <si>
    <t>둔산종합사회복지관</t>
  </si>
  <si>
    <t xml:space="preserve">                  </t>
  </si>
  <si>
    <t>세   입</t>
  </si>
  <si>
    <t>세   출</t>
  </si>
  <si>
    <t>구분</t>
  </si>
  <si>
    <t>항     목</t>
  </si>
  <si>
    <t>06 예산</t>
  </si>
  <si>
    <t>증감</t>
  </si>
  <si>
    <t xml:space="preserve"> 총     계</t>
  </si>
  <si>
    <t>총    계</t>
  </si>
  <si>
    <t>사          회         복        지        관</t>
  </si>
  <si>
    <t>소    계</t>
  </si>
  <si>
    <t>사          회         복        지        관</t>
  </si>
  <si>
    <t>소  계</t>
  </si>
  <si>
    <t>소  계</t>
  </si>
  <si>
    <t>사회복지관</t>
  </si>
  <si>
    <t>사무비</t>
  </si>
  <si>
    <t>사회복지관인건비</t>
  </si>
  <si>
    <t>장애아동탁아방</t>
  </si>
  <si>
    <t>장애아동인건비</t>
  </si>
  <si>
    <t>경상보조금</t>
  </si>
  <si>
    <t>사회복지관</t>
  </si>
  <si>
    <t>이동목욕인건비</t>
  </si>
  <si>
    <t>업무추진비</t>
  </si>
  <si>
    <t>이동목욕차량</t>
  </si>
  <si>
    <t>운영비</t>
  </si>
  <si>
    <t>프로그램운영비</t>
  </si>
  <si>
    <t>재산조성비</t>
  </si>
  <si>
    <t>시설비</t>
  </si>
  <si>
    <t>종사자특별수당</t>
  </si>
  <si>
    <t>사업비</t>
  </si>
  <si>
    <t>사회복지관</t>
  </si>
  <si>
    <t>기타보조금</t>
  </si>
  <si>
    <t>기타보조금수입</t>
  </si>
  <si>
    <t>장애아동탁아방</t>
  </si>
  <si>
    <t>후원금수입</t>
  </si>
  <si>
    <t>이동목욕차량</t>
  </si>
  <si>
    <t>차입금</t>
  </si>
  <si>
    <t>기타차입금</t>
  </si>
  <si>
    <t>경로식당</t>
  </si>
  <si>
    <t>전입금</t>
  </si>
  <si>
    <t>법인전입금</t>
  </si>
  <si>
    <t>식사배달</t>
  </si>
  <si>
    <t>이월금</t>
  </si>
  <si>
    <t>전년도이월금</t>
  </si>
  <si>
    <t>장애인정보화교육</t>
  </si>
  <si>
    <t>잡수입</t>
  </si>
  <si>
    <t>신노인건강교실</t>
  </si>
  <si>
    <t>어린이야간보호사업</t>
  </si>
  <si>
    <t>사랑의저녁도시락</t>
  </si>
  <si>
    <t>북한이탈주민적응지원</t>
  </si>
  <si>
    <t>경로당활성화사업비</t>
  </si>
  <si>
    <t>집수리사업</t>
  </si>
  <si>
    <t>어르신정서지원사업</t>
  </si>
  <si>
    <t>부채상환금</t>
  </si>
  <si>
    <t>잡지출</t>
  </si>
  <si>
    <t>예비비</t>
  </si>
  <si>
    <t>재가                   복지                봉사                센터</t>
  </si>
  <si>
    <t>재가                   복지                봉사                센터</t>
  </si>
  <si>
    <t>소  계</t>
  </si>
  <si>
    <t>경상보조금</t>
  </si>
  <si>
    <t>종사자특별수당</t>
  </si>
  <si>
    <t>운영비</t>
  </si>
  <si>
    <t>재산조성비</t>
  </si>
  <si>
    <t>시설비</t>
  </si>
  <si>
    <t>이월금</t>
  </si>
  <si>
    <t>전년도이월금</t>
  </si>
  <si>
    <t>사업비</t>
  </si>
  <si>
    <t>잡수입</t>
  </si>
  <si>
    <t>잡 수 입</t>
  </si>
  <si>
    <t>예비비</t>
  </si>
  <si>
    <t>노인           주간        보호              센타</t>
  </si>
  <si>
    <t>소  계</t>
  </si>
  <si>
    <t>노인           주간        보호              센타</t>
  </si>
  <si>
    <t>보조금수입</t>
  </si>
  <si>
    <t>경상보조금</t>
  </si>
  <si>
    <t>사무비</t>
  </si>
  <si>
    <t>인건비</t>
  </si>
  <si>
    <t>종사자특별수당</t>
  </si>
  <si>
    <t>운영비</t>
  </si>
  <si>
    <t>사업수입</t>
  </si>
  <si>
    <t>입소자부담금</t>
  </si>
  <si>
    <t>재산조성비</t>
  </si>
  <si>
    <t>시설비</t>
  </si>
  <si>
    <t>후원금수입</t>
  </si>
  <si>
    <t>사업비</t>
  </si>
  <si>
    <t>이월금</t>
  </si>
  <si>
    <t>전년도이월금</t>
  </si>
  <si>
    <t>예비비</t>
  </si>
  <si>
    <t>잡수입</t>
  </si>
  <si>
    <t>06 추경</t>
  </si>
  <si>
    <t>06 예산(A)</t>
  </si>
  <si>
    <t>06 추경(B)</t>
  </si>
  <si>
    <t>351 마음을 여는 은빛교실</t>
  </si>
  <si>
    <t>06예산(A)</t>
  </si>
  <si>
    <t>06추경(B)</t>
  </si>
  <si>
    <t>ㅇ 실습생 지도비</t>
  </si>
  <si>
    <t>*20명=</t>
  </si>
  <si>
    <t>06예산(A)</t>
  </si>
  <si>
    <t>06추경(B)</t>
  </si>
  <si>
    <t>04 보조금수입</t>
  </si>
  <si>
    <t>ㅇ 수용비 및 수수료</t>
  </si>
  <si>
    <t>ㅇ 직원연수 및 교육</t>
  </si>
  <si>
    <t>가사도우미파견사업</t>
  </si>
  <si>
    <t>ㅇ 재가복지 운영비</t>
  </si>
  <si>
    <t>지정후원금(결연후원)</t>
  </si>
  <si>
    <t>세입 총계</t>
  </si>
  <si>
    <t>세출 총계</t>
  </si>
  <si>
    <t>115  퇴직금 및 퇴직적립금</t>
  </si>
  <si>
    <t>412 종사자수당</t>
  </si>
  <si>
    <t>412 경상보조금수입</t>
  </si>
  <si>
    <t>ㅇ 법인 전입금</t>
  </si>
  <si>
    <t>2006년도 둔산종합사회복지관 세입.세출 추경예산서</t>
  </si>
  <si>
    <t>2006년도  재가복지봉사센터 세입.세출 추경예산서</t>
  </si>
  <si>
    <t>2006년도 둔산실비주간보호센터 세입.세출 추경예산서</t>
  </si>
  <si>
    <t>7. 서무(1)</t>
  </si>
  <si>
    <t>6. 서무(1)</t>
  </si>
</sst>
</file>

<file path=xl/styles.xml><?xml version="1.0" encoding="utf-8"?>
<styleSheet xmlns="http://schemas.openxmlformats.org/spreadsheetml/2006/main">
  <numFmts count="1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&quot;△&quot;#,##0"/>
    <numFmt numFmtId="178" formatCode="0.0_);&quot;△&quot;0.0"/>
    <numFmt numFmtId="179" formatCode="#,##0.0_ "/>
    <numFmt numFmtId="180" formatCode="#,##0.0_);&quot;△&quot;#,##0.0"/>
    <numFmt numFmtId="181" formatCode="_-* #,##0.0_-;\-* #,##0.0_-;_-* &quot;-&quot;?_-;_-@_-"/>
    <numFmt numFmtId="182" formatCode="#,##0_);[Red]\(#,##0\)"/>
  </numFmts>
  <fonts count="23">
    <font>
      <sz val="11"/>
      <name val="돋움"/>
      <family val="0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돋움"/>
      <family val="3"/>
    </font>
    <font>
      <b/>
      <sz val="11"/>
      <name val="돋움"/>
      <family val="0"/>
    </font>
    <font>
      <b/>
      <sz val="11"/>
      <name val="HY신명조"/>
      <family val="1"/>
    </font>
    <font>
      <b/>
      <sz val="20"/>
      <name val="HY신명조"/>
      <family val="1"/>
    </font>
    <font>
      <b/>
      <sz val="14"/>
      <name val="HY신명조"/>
      <family val="1"/>
    </font>
    <font>
      <sz val="9"/>
      <name val="HY신명조"/>
      <family val="1"/>
    </font>
    <font>
      <sz val="6"/>
      <name val="HY신명조"/>
      <family val="1"/>
    </font>
    <font>
      <sz val="8"/>
      <name val="HY신명조"/>
      <family val="1"/>
    </font>
    <font>
      <sz val="11"/>
      <name val="HY신명조"/>
      <family val="1"/>
    </font>
    <font>
      <sz val="10"/>
      <name val="HY신명조"/>
      <family val="1"/>
    </font>
    <font>
      <b/>
      <sz val="9"/>
      <name val="HY신명조"/>
      <family val="1"/>
    </font>
    <font>
      <b/>
      <sz val="20"/>
      <name val="굴림"/>
      <family val="3"/>
    </font>
    <font>
      <sz val="20"/>
      <name val="돋움"/>
      <family val="3"/>
    </font>
    <font>
      <b/>
      <sz val="11"/>
      <name val="굴림"/>
      <family val="3"/>
    </font>
    <font>
      <sz val="11"/>
      <name val="굴림"/>
      <family val="3"/>
    </font>
    <font>
      <sz val="10"/>
      <name val="돋움"/>
      <family val="3"/>
    </font>
    <font>
      <sz val="10"/>
      <name val="굴림"/>
      <family val="3"/>
    </font>
    <font>
      <sz val="8"/>
      <name val="굴림"/>
      <family val="3"/>
    </font>
    <font>
      <sz val="6"/>
      <name val="굴림"/>
      <family val="3"/>
    </font>
  </fonts>
  <fills count="5">
    <fill>
      <patternFill/>
    </fill>
    <fill>
      <patternFill patternType="gray125"/>
    </fill>
    <fill>
      <patternFill patternType="lightGray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double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0" fillId="0" borderId="0" xfId="0" applyBorder="1" applyAlignment="1">
      <alignment/>
    </xf>
    <xf numFmtId="176" fontId="8" fillId="0" borderId="0" xfId="0" applyNumberFormat="1" applyFont="1" applyAlignment="1">
      <alignment vertical="center"/>
    </xf>
    <xf numFmtId="176" fontId="9" fillId="0" borderId="1" xfId="0" applyNumberFormat="1" applyFont="1" applyBorder="1" applyAlignment="1">
      <alignment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vertical="center"/>
    </xf>
    <xf numFmtId="177" fontId="9" fillId="0" borderId="2" xfId="17" applyNumberFormat="1" applyFont="1" applyBorder="1" applyAlignment="1">
      <alignment horizontal="right" vertical="center"/>
    </xf>
    <xf numFmtId="178" fontId="9" fillId="0" borderId="2" xfId="0" applyNumberFormat="1" applyFont="1" applyBorder="1" applyAlignment="1">
      <alignment horizontal="right" vertical="center"/>
    </xf>
    <xf numFmtId="176" fontId="9" fillId="0" borderId="3" xfId="0" applyNumberFormat="1" applyFont="1" applyBorder="1" applyAlignment="1">
      <alignment horizontal="left" vertical="center" wrapText="1"/>
    </xf>
    <xf numFmtId="176" fontId="9" fillId="0" borderId="2" xfId="0" applyNumberFormat="1" applyFont="1" applyBorder="1" applyAlignment="1">
      <alignment horizontal="right" vertical="center"/>
    </xf>
    <xf numFmtId="178" fontId="9" fillId="0" borderId="4" xfId="0" applyNumberFormat="1" applyFont="1" applyBorder="1" applyAlignment="1">
      <alignment horizontal="right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vertical="center"/>
    </xf>
    <xf numFmtId="177" fontId="9" fillId="0" borderId="6" xfId="17" applyNumberFormat="1" applyFont="1" applyBorder="1" applyAlignment="1">
      <alignment horizontal="right" vertical="center"/>
    </xf>
    <xf numFmtId="178" fontId="9" fillId="0" borderId="6" xfId="0" applyNumberFormat="1" applyFont="1" applyBorder="1" applyAlignment="1">
      <alignment horizontal="right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left" vertical="center"/>
    </xf>
    <xf numFmtId="178" fontId="9" fillId="0" borderId="7" xfId="0" applyNumberFormat="1" applyFont="1" applyBorder="1" applyAlignment="1">
      <alignment horizontal="right" vertical="center"/>
    </xf>
    <xf numFmtId="176" fontId="9" fillId="0" borderId="6" xfId="0" applyNumberFormat="1" applyFont="1" applyBorder="1" applyAlignment="1">
      <alignment horizontal="left" vertical="center"/>
    </xf>
    <xf numFmtId="176" fontId="9" fillId="0" borderId="6" xfId="0" applyNumberFormat="1" applyFont="1" applyBorder="1" applyAlignment="1">
      <alignment horizontal="right" vertical="center"/>
    </xf>
    <xf numFmtId="179" fontId="9" fillId="0" borderId="6" xfId="0" applyNumberFormat="1" applyFont="1" applyBorder="1" applyAlignment="1">
      <alignment horizontal="right" vertical="center"/>
    </xf>
    <xf numFmtId="176" fontId="9" fillId="0" borderId="3" xfId="0" applyNumberFormat="1" applyFont="1" applyBorder="1" applyAlignment="1">
      <alignment horizontal="left" vertical="center"/>
    </xf>
    <xf numFmtId="179" fontId="9" fillId="0" borderId="7" xfId="0" applyNumberFormat="1" applyFont="1" applyBorder="1" applyAlignment="1">
      <alignment horizontal="right" vertical="center"/>
    </xf>
    <xf numFmtId="176" fontId="9" fillId="0" borderId="8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vertical="center"/>
    </xf>
    <xf numFmtId="176" fontId="9" fillId="0" borderId="9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/>
    </xf>
    <xf numFmtId="176" fontId="10" fillId="0" borderId="6" xfId="0" applyNumberFormat="1" applyFont="1" applyBorder="1" applyAlignment="1">
      <alignment horizontal="left" vertical="center"/>
    </xf>
    <xf numFmtId="176" fontId="10" fillId="0" borderId="10" xfId="0" applyNumberFormat="1" applyFont="1" applyBorder="1" applyAlignment="1">
      <alignment horizontal="left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vertical="center" wrapText="1"/>
    </xf>
    <xf numFmtId="176" fontId="9" fillId="0" borderId="10" xfId="0" applyNumberFormat="1" applyFont="1" applyBorder="1" applyAlignment="1">
      <alignment horizontal="left" vertical="center"/>
    </xf>
    <xf numFmtId="176" fontId="9" fillId="0" borderId="3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7" fontId="9" fillId="0" borderId="12" xfId="17" applyNumberFormat="1" applyFont="1" applyBorder="1" applyAlignment="1">
      <alignment horizontal="right" vertical="center"/>
    </xf>
    <xf numFmtId="176" fontId="10" fillId="0" borderId="2" xfId="0" applyNumberFormat="1" applyFont="1" applyBorder="1" applyAlignment="1">
      <alignment horizontal="left" vertical="center"/>
    </xf>
    <xf numFmtId="179" fontId="9" fillId="0" borderId="2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left" vertical="center"/>
    </xf>
    <xf numFmtId="176" fontId="9" fillId="0" borderId="12" xfId="0" applyNumberFormat="1" applyFont="1" applyBorder="1" applyAlignment="1">
      <alignment horizontal="right" vertical="center"/>
    </xf>
    <xf numFmtId="179" fontId="9" fillId="0" borderId="12" xfId="0" applyNumberFormat="1" applyFont="1" applyBorder="1" applyAlignment="1">
      <alignment horizontal="right" vertical="center"/>
    </xf>
    <xf numFmtId="179" fontId="9" fillId="0" borderId="4" xfId="0" applyNumberFormat="1" applyFont="1" applyBorder="1" applyAlignment="1">
      <alignment horizontal="right"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vertical="center" wrapText="1"/>
    </xf>
    <xf numFmtId="176" fontId="9" fillId="0" borderId="15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vertical="center"/>
    </xf>
    <xf numFmtId="176" fontId="9" fillId="0" borderId="9" xfId="0" applyNumberFormat="1" applyFont="1" applyBorder="1" applyAlignment="1">
      <alignment vertical="center" wrapText="1"/>
    </xf>
    <xf numFmtId="176" fontId="9" fillId="0" borderId="8" xfId="0" applyNumberFormat="1" applyFont="1" applyBorder="1" applyAlignment="1">
      <alignment vertical="center"/>
    </xf>
    <xf numFmtId="176" fontId="10" fillId="0" borderId="5" xfId="0" applyNumberFormat="1" applyFont="1" applyBorder="1" applyAlignment="1">
      <alignment vertical="center" wrapText="1"/>
    </xf>
    <xf numFmtId="176" fontId="11" fillId="0" borderId="6" xfId="0" applyNumberFormat="1" applyFont="1" applyBorder="1" applyAlignment="1">
      <alignment vertical="center" wrapText="1"/>
    </xf>
    <xf numFmtId="176" fontId="9" fillId="0" borderId="17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vertical="center" wrapText="1"/>
    </xf>
    <xf numFmtId="177" fontId="9" fillId="0" borderId="2" xfId="17" applyNumberFormat="1" applyFont="1" applyBorder="1" applyAlignment="1">
      <alignment vertical="center"/>
    </xf>
    <xf numFmtId="178" fontId="9" fillId="0" borderId="2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7" fontId="9" fillId="0" borderId="14" xfId="17" applyNumberFormat="1" applyFont="1" applyBorder="1" applyAlignment="1">
      <alignment horizontal="right" vertical="center"/>
    </xf>
    <xf numFmtId="178" fontId="9" fillId="0" borderId="19" xfId="0" applyNumberFormat="1" applyFont="1" applyBorder="1" applyAlignment="1">
      <alignment horizontal="right" vertical="center"/>
    </xf>
    <xf numFmtId="177" fontId="9" fillId="0" borderId="3" xfId="17" applyNumberFormat="1" applyFont="1" applyBorder="1" applyAlignment="1">
      <alignment vertical="center"/>
    </xf>
    <xf numFmtId="178" fontId="9" fillId="0" borderId="20" xfId="0" applyNumberFormat="1" applyFont="1" applyBorder="1" applyAlignment="1">
      <alignment vertical="center"/>
    </xf>
    <xf numFmtId="176" fontId="9" fillId="0" borderId="3" xfId="0" applyNumberFormat="1" applyFont="1" applyBorder="1" applyAlignment="1">
      <alignment vertical="center" wrapText="1"/>
    </xf>
    <xf numFmtId="176" fontId="9" fillId="0" borderId="2" xfId="0" applyNumberFormat="1" applyFont="1" applyBorder="1" applyAlignment="1">
      <alignment horizontal="left" vertical="center"/>
    </xf>
    <xf numFmtId="176" fontId="9" fillId="0" borderId="3" xfId="0" applyNumberFormat="1" applyFont="1" applyBorder="1" applyAlignment="1">
      <alignment horizontal="center" vertical="center" wrapText="1"/>
    </xf>
    <xf numFmtId="179" fontId="9" fillId="0" borderId="20" xfId="0" applyNumberFormat="1" applyFont="1" applyBorder="1" applyAlignment="1">
      <alignment vertical="center"/>
    </xf>
    <xf numFmtId="176" fontId="9" fillId="0" borderId="20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horizontal="left" vertical="center" wrapText="1"/>
    </xf>
    <xf numFmtId="176" fontId="10" fillId="0" borderId="6" xfId="0" applyNumberFormat="1" applyFont="1" applyBorder="1" applyAlignment="1">
      <alignment horizontal="left" vertical="center" wrapText="1"/>
    </xf>
    <xf numFmtId="176" fontId="10" fillId="0" borderId="2" xfId="0" applyNumberFormat="1" applyFont="1" applyBorder="1" applyAlignment="1">
      <alignment horizontal="left" vertical="center" wrapText="1"/>
    </xf>
    <xf numFmtId="176" fontId="11" fillId="0" borderId="6" xfId="0" applyNumberFormat="1" applyFont="1" applyBorder="1" applyAlignment="1">
      <alignment horizontal="left" vertical="center" wrapText="1"/>
    </xf>
    <xf numFmtId="176" fontId="9" fillId="0" borderId="10" xfId="0" applyNumberFormat="1" applyFont="1" applyBorder="1" applyAlignment="1">
      <alignment vertical="center"/>
    </xf>
    <xf numFmtId="176" fontId="9" fillId="0" borderId="21" xfId="0" applyNumberFormat="1" applyFont="1" applyBorder="1" applyAlignment="1">
      <alignment vertical="center"/>
    </xf>
    <xf numFmtId="179" fontId="9" fillId="0" borderId="22" xfId="0" applyNumberFormat="1" applyFont="1" applyBorder="1" applyAlignment="1">
      <alignment horizontal="right" vertical="center"/>
    </xf>
    <xf numFmtId="176" fontId="12" fillId="0" borderId="0" xfId="0" applyNumberFormat="1" applyFont="1" applyAlignment="1">
      <alignment vertical="center"/>
    </xf>
    <xf numFmtId="176" fontId="9" fillId="0" borderId="1" xfId="0" applyNumberFormat="1" applyFont="1" applyBorder="1" applyAlignment="1">
      <alignment horizontal="left" vertical="center"/>
    </xf>
    <xf numFmtId="177" fontId="9" fillId="0" borderId="2" xfId="0" applyNumberFormat="1" applyFont="1" applyBorder="1" applyAlignment="1">
      <alignment vertical="center"/>
    </xf>
    <xf numFmtId="180" fontId="9" fillId="0" borderId="2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176" fontId="9" fillId="0" borderId="23" xfId="0" applyNumberFormat="1" applyFont="1" applyBorder="1" applyAlignment="1">
      <alignment horizontal="left" vertical="center"/>
    </xf>
    <xf numFmtId="179" fontId="9" fillId="0" borderId="6" xfId="0" applyNumberFormat="1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176" fontId="11" fillId="0" borderId="10" xfId="0" applyNumberFormat="1" applyFont="1" applyBorder="1" applyAlignment="1">
      <alignment horizontal="left" vertical="center"/>
    </xf>
    <xf numFmtId="176" fontId="11" fillId="0" borderId="10" xfId="0" applyNumberFormat="1" applyFont="1" applyBorder="1" applyAlignment="1">
      <alignment horizontal="center" vertical="center"/>
    </xf>
    <xf numFmtId="180" fontId="9" fillId="0" borderId="6" xfId="0" applyNumberFormat="1" applyFont="1" applyBorder="1" applyAlignment="1">
      <alignment vertical="center"/>
    </xf>
    <xf numFmtId="179" fontId="9" fillId="0" borderId="7" xfId="0" applyNumberFormat="1" applyFont="1" applyBorder="1" applyAlignment="1">
      <alignment vertical="center"/>
    </xf>
    <xf numFmtId="176" fontId="9" fillId="0" borderId="24" xfId="0" applyNumberFormat="1" applyFont="1" applyBorder="1" applyAlignment="1">
      <alignment horizontal="left" vertical="center"/>
    </xf>
    <xf numFmtId="176" fontId="9" fillId="0" borderId="8" xfId="0" applyNumberFormat="1" applyFont="1" applyBorder="1" applyAlignment="1">
      <alignment horizontal="left" vertical="center"/>
    </xf>
    <xf numFmtId="176" fontId="9" fillId="0" borderId="9" xfId="0" applyNumberFormat="1" applyFont="1" applyBorder="1" applyAlignment="1">
      <alignment horizontal="left" vertical="center"/>
    </xf>
    <xf numFmtId="176" fontId="9" fillId="0" borderId="2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vertical="center"/>
    </xf>
    <xf numFmtId="177" fontId="9" fillId="0" borderId="5" xfId="0" applyNumberFormat="1" applyFont="1" applyBorder="1" applyAlignment="1">
      <alignment vertical="center"/>
    </xf>
    <xf numFmtId="180" fontId="9" fillId="0" borderId="25" xfId="0" applyNumberFormat="1" applyFont="1" applyBorder="1" applyAlignment="1">
      <alignment vertical="center"/>
    </xf>
    <xf numFmtId="0" fontId="12" fillId="0" borderId="1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6" xfId="0" applyFont="1" applyBorder="1" applyAlignment="1">
      <alignment/>
    </xf>
    <xf numFmtId="0" fontId="10" fillId="0" borderId="6" xfId="0" applyFont="1" applyBorder="1" applyAlignment="1">
      <alignment vertical="center"/>
    </xf>
    <xf numFmtId="0" fontId="9" fillId="0" borderId="6" xfId="0" applyFont="1" applyBorder="1" applyAlignment="1">
      <alignment/>
    </xf>
    <xf numFmtId="179" fontId="9" fillId="0" borderId="2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horizontal="left" vertical="center"/>
    </xf>
    <xf numFmtId="179" fontId="9" fillId="0" borderId="22" xfId="0" applyNumberFormat="1" applyFont="1" applyBorder="1" applyAlignment="1">
      <alignment vertical="center"/>
    </xf>
    <xf numFmtId="177" fontId="9" fillId="0" borderId="2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vertical="center"/>
    </xf>
    <xf numFmtId="177" fontId="9" fillId="0" borderId="6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7" fontId="9" fillId="0" borderId="6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vertical="center"/>
    </xf>
    <xf numFmtId="179" fontId="9" fillId="0" borderId="12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horizontal="center" vertical="center"/>
    </xf>
    <xf numFmtId="177" fontId="9" fillId="0" borderId="12" xfId="0" applyNumberFormat="1" applyFont="1" applyBorder="1" applyAlignment="1">
      <alignment horizontal="right" vertical="center"/>
    </xf>
    <xf numFmtId="180" fontId="9" fillId="0" borderId="22" xfId="0" applyNumberFormat="1" applyFont="1" applyBorder="1" applyAlignment="1">
      <alignment vertical="center"/>
    </xf>
    <xf numFmtId="176" fontId="9" fillId="0" borderId="26" xfId="0" applyNumberFormat="1" applyFont="1" applyBorder="1" applyAlignment="1">
      <alignment horizontal="center" vertical="center"/>
    </xf>
    <xf numFmtId="41" fontId="9" fillId="0" borderId="27" xfId="17" applyFont="1" applyBorder="1" applyAlignment="1">
      <alignment horizontal="center" vertical="center"/>
    </xf>
    <xf numFmtId="41" fontId="9" fillId="0" borderId="2" xfId="17" applyFont="1" applyBorder="1" applyAlignment="1">
      <alignment horizontal="center" vertical="center"/>
    </xf>
    <xf numFmtId="177" fontId="13" fillId="0" borderId="18" xfId="17" applyNumberFormat="1" applyFont="1" applyBorder="1" applyAlignment="1">
      <alignment horizontal="center" vertical="center"/>
    </xf>
    <xf numFmtId="178" fontId="13" fillId="0" borderId="2" xfId="17" applyNumberFormat="1" applyFont="1" applyBorder="1" applyAlignment="1">
      <alignment horizontal="center" vertical="center"/>
    </xf>
    <xf numFmtId="41" fontId="13" fillId="0" borderId="17" xfId="17" applyFont="1" applyBorder="1" applyAlignment="1">
      <alignment horizontal="center" vertical="center" shrinkToFit="1"/>
    </xf>
    <xf numFmtId="41" fontId="12" fillId="0" borderId="27" xfId="17" applyFont="1" applyBorder="1" applyAlignment="1">
      <alignment horizontal="center" vertical="center" shrinkToFit="1"/>
    </xf>
    <xf numFmtId="41" fontId="9" fillId="0" borderId="28" xfId="17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77" fontId="13" fillId="0" borderId="6" xfId="17" applyNumberFormat="1" applyFont="1" applyBorder="1" applyAlignment="1">
      <alignment horizontal="center" vertical="center"/>
    </xf>
    <xf numFmtId="178" fontId="13" fillId="0" borderId="6" xfId="17" applyNumberFormat="1" applyFont="1" applyBorder="1" applyAlignment="1">
      <alignment horizontal="center" vertical="center"/>
    </xf>
    <xf numFmtId="41" fontId="13" fillId="0" borderId="15" xfId="17" applyFont="1" applyBorder="1" applyAlignment="1">
      <alignment horizontal="center" vertical="center" shrinkToFit="1"/>
    </xf>
    <xf numFmtId="41" fontId="12" fillId="0" borderId="29" xfId="17" applyFont="1" applyBorder="1" applyAlignment="1">
      <alignment horizontal="center" vertical="center" shrinkToFit="1"/>
    </xf>
    <xf numFmtId="41" fontId="9" fillId="0" borderId="30" xfId="17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41" fontId="13" fillId="0" borderId="5" xfId="17" applyFont="1" applyBorder="1" applyAlignment="1">
      <alignment horizontal="center" vertical="center" shrinkToFit="1"/>
    </xf>
    <xf numFmtId="41" fontId="13" fillId="0" borderId="11" xfId="17" applyFont="1" applyBorder="1" applyAlignment="1">
      <alignment horizontal="center" vertical="center"/>
    </xf>
    <xf numFmtId="177" fontId="13" fillId="0" borderId="31" xfId="17" applyNumberFormat="1" applyFont="1" applyBorder="1" applyAlignment="1">
      <alignment horizontal="center" vertical="center"/>
    </xf>
    <xf numFmtId="178" fontId="13" fillId="0" borderId="5" xfId="17" applyNumberFormat="1" applyFont="1" applyBorder="1" applyAlignment="1">
      <alignment horizontal="center" vertical="center"/>
    </xf>
    <xf numFmtId="41" fontId="13" fillId="0" borderId="32" xfId="17" applyFont="1" applyBorder="1" applyAlignment="1">
      <alignment horizontal="center" vertical="center"/>
    </xf>
    <xf numFmtId="41" fontId="13" fillId="0" borderId="30" xfId="17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shrinkToFit="1"/>
    </xf>
    <xf numFmtId="41" fontId="13" fillId="0" borderId="3" xfId="17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left" vertical="center" shrinkToFit="1"/>
    </xf>
    <xf numFmtId="41" fontId="13" fillId="0" borderId="2" xfId="17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left" vertical="center" shrinkToFit="1"/>
    </xf>
    <xf numFmtId="41" fontId="13" fillId="0" borderId="11" xfId="17" applyFont="1" applyBorder="1" applyAlignment="1">
      <alignment horizontal="center" vertical="center" shrinkToFit="1"/>
    </xf>
    <xf numFmtId="177" fontId="13" fillId="0" borderId="5" xfId="17" applyNumberFormat="1" applyFont="1" applyBorder="1" applyAlignment="1">
      <alignment horizontal="center" vertical="center"/>
    </xf>
    <xf numFmtId="41" fontId="13" fillId="0" borderId="15" xfId="17" applyFont="1" applyBorder="1" applyAlignment="1">
      <alignment horizontal="left" vertical="center"/>
    </xf>
    <xf numFmtId="41" fontId="12" fillId="0" borderId="3" xfId="17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41" fontId="13" fillId="0" borderId="0" xfId="17" applyFont="1" applyBorder="1" applyAlignment="1">
      <alignment horizontal="center" vertical="center"/>
    </xf>
    <xf numFmtId="177" fontId="13" fillId="0" borderId="3" xfId="17" applyNumberFormat="1" applyFont="1" applyBorder="1" applyAlignment="1">
      <alignment horizontal="center" vertical="center"/>
    </xf>
    <xf numFmtId="178" fontId="13" fillId="0" borderId="3" xfId="17" applyNumberFormat="1" applyFont="1" applyBorder="1" applyAlignment="1">
      <alignment horizontal="center" vertical="center"/>
    </xf>
    <xf numFmtId="41" fontId="13" fillId="0" borderId="33" xfId="17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center" vertical="center" shrinkToFit="1"/>
    </xf>
    <xf numFmtId="41" fontId="13" fillId="0" borderId="27" xfId="17" applyFont="1" applyBorder="1" applyAlignment="1">
      <alignment horizontal="center" vertical="center"/>
    </xf>
    <xf numFmtId="41" fontId="13" fillId="0" borderId="28" xfId="17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shrinkToFit="1"/>
    </xf>
    <xf numFmtId="41" fontId="13" fillId="0" borderId="14" xfId="17" applyFont="1" applyBorder="1" applyAlignment="1">
      <alignment horizontal="center" vertical="center" shrinkToFit="1"/>
    </xf>
    <xf numFmtId="177" fontId="13" fillId="0" borderId="14" xfId="17" applyNumberFormat="1" applyFont="1" applyBorder="1" applyAlignment="1">
      <alignment horizontal="center" vertical="center"/>
    </xf>
    <xf numFmtId="178" fontId="13" fillId="0" borderId="14" xfId="17" applyNumberFormat="1" applyFont="1" applyBorder="1" applyAlignment="1">
      <alignment horizontal="center" vertical="center"/>
    </xf>
    <xf numFmtId="41" fontId="13" fillId="0" borderId="34" xfId="17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41" fontId="13" fillId="0" borderId="3" xfId="17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41" fontId="13" fillId="0" borderId="35" xfId="17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 shrinkToFit="1"/>
    </xf>
    <xf numFmtId="41" fontId="13" fillId="0" borderId="6" xfId="17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41" fontId="13" fillId="0" borderId="17" xfId="17" applyFont="1" applyBorder="1" applyAlignment="1">
      <alignment horizontal="left" vertical="center"/>
    </xf>
    <xf numFmtId="41" fontId="11" fillId="0" borderId="17" xfId="17" applyFont="1" applyBorder="1" applyAlignment="1">
      <alignment horizontal="left" vertical="center"/>
    </xf>
    <xf numFmtId="41" fontId="13" fillId="0" borderId="18" xfId="17" applyFont="1" applyBorder="1" applyAlignment="1">
      <alignment horizontal="center" vertical="center"/>
    </xf>
    <xf numFmtId="177" fontId="13" fillId="0" borderId="2" xfId="17" applyNumberFormat="1" applyFont="1" applyBorder="1" applyAlignment="1">
      <alignment horizontal="center" vertical="center"/>
    </xf>
    <xf numFmtId="41" fontId="12" fillId="0" borderId="0" xfId="17" applyFont="1" applyBorder="1" applyAlignment="1">
      <alignment horizontal="center" vertical="center" shrinkToFit="1"/>
    </xf>
    <xf numFmtId="41" fontId="9" fillId="0" borderId="36" xfId="17" applyFont="1" applyBorder="1" applyAlignment="1">
      <alignment horizontal="center" vertical="center"/>
    </xf>
    <xf numFmtId="41" fontId="9" fillId="0" borderId="6" xfId="17" applyFont="1" applyBorder="1" applyAlignment="1">
      <alignment horizontal="center" vertical="center"/>
    </xf>
    <xf numFmtId="177" fontId="13" fillId="0" borderId="10" xfId="17" applyNumberFormat="1" applyFont="1" applyBorder="1" applyAlignment="1">
      <alignment horizontal="center" vertical="center"/>
    </xf>
    <xf numFmtId="41" fontId="13" fillId="0" borderId="31" xfId="17" applyFont="1" applyBorder="1" applyAlignment="1">
      <alignment horizontal="center" vertical="center" shrinkToFit="1"/>
    </xf>
    <xf numFmtId="177" fontId="13" fillId="0" borderId="32" xfId="17" applyNumberFormat="1" applyFont="1" applyBorder="1" applyAlignment="1">
      <alignment horizontal="center" vertical="center"/>
    </xf>
    <xf numFmtId="178" fontId="13" fillId="0" borderId="15" xfId="17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41" fontId="9" fillId="0" borderId="32" xfId="17" applyFont="1" applyBorder="1" applyAlignment="1">
      <alignment horizontal="center" vertical="center"/>
    </xf>
    <xf numFmtId="41" fontId="9" fillId="0" borderId="17" xfId="17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41" fontId="13" fillId="0" borderId="5" xfId="17" applyFont="1" applyBorder="1" applyAlignment="1">
      <alignment horizontal="center" vertical="center"/>
    </xf>
    <xf numFmtId="177" fontId="13" fillId="0" borderId="37" xfId="17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shrinkToFit="1"/>
    </xf>
    <xf numFmtId="41" fontId="13" fillId="0" borderId="12" xfId="17" applyFont="1" applyBorder="1" applyAlignment="1">
      <alignment horizontal="center" vertical="center" shrinkToFit="1"/>
    </xf>
    <xf numFmtId="178" fontId="13" fillId="0" borderId="12" xfId="17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177" fontId="13" fillId="0" borderId="12" xfId="17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9" fillId="0" borderId="3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41" fontId="13" fillId="0" borderId="38" xfId="17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37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177" fontId="9" fillId="0" borderId="18" xfId="17" applyNumberFormat="1" applyFont="1" applyBorder="1" applyAlignment="1">
      <alignment horizontal="center" vertical="center"/>
    </xf>
    <xf numFmtId="178" fontId="9" fillId="0" borderId="2" xfId="17" applyNumberFormat="1" applyFont="1" applyBorder="1" applyAlignment="1">
      <alignment horizontal="center" vertical="center"/>
    </xf>
    <xf numFmtId="41" fontId="9" fillId="0" borderId="17" xfId="17" applyFont="1" applyBorder="1" applyAlignment="1">
      <alignment horizontal="center" vertical="center" shrinkToFit="1"/>
    </xf>
    <xf numFmtId="41" fontId="9" fillId="0" borderId="27" xfId="17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1" fontId="9" fillId="0" borderId="10" xfId="17" applyFont="1" applyBorder="1" applyAlignment="1">
      <alignment horizontal="center" vertical="center"/>
    </xf>
    <xf numFmtId="177" fontId="9" fillId="0" borderId="6" xfId="17" applyNumberFormat="1" applyFont="1" applyBorder="1" applyAlignment="1">
      <alignment horizontal="center" vertical="center"/>
    </xf>
    <xf numFmtId="178" fontId="9" fillId="0" borderId="6" xfId="17" applyNumberFormat="1" applyFont="1" applyBorder="1" applyAlignment="1">
      <alignment horizontal="center" vertical="center"/>
    </xf>
    <xf numFmtId="41" fontId="9" fillId="0" borderId="15" xfId="17" applyFont="1" applyBorder="1" applyAlignment="1">
      <alignment horizontal="center" vertical="center" shrinkToFit="1"/>
    </xf>
    <xf numFmtId="41" fontId="9" fillId="0" borderId="29" xfId="17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1" fontId="9" fillId="0" borderId="5" xfId="17" applyFont="1" applyBorder="1" applyAlignment="1">
      <alignment horizontal="center" vertical="center" shrinkToFit="1"/>
    </xf>
    <xf numFmtId="41" fontId="9" fillId="0" borderId="11" xfId="17" applyFont="1" applyBorder="1" applyAlignment="1">
      <alignment horizontal="center" vertical="center"/>
    </xf>
    <xf numFmtId="177" fontId="9" fillId="0" borderId="31" xfId="17" applyNumberFormat="1" applyFont="1" applyBorder="1" applyAlignment="1">
      <alignment horizontal="center" vertical="center"/>
    </xf>
    <xf numFmtId="178" fontId="9" fillId="0" borderId="5" xfId="17" applyNumberFormat="1" applyFont="1" applyBorder="1" applyAlignment="1">
      <alignment horizontal="center" vertical="center"/>
    </xf>
    <xf numFmtId="41" fontId="9" fillId="0" borderId="3" xfId="17" applyFont="1" applyBorder="1" applyAlignment="1">
      <alignment horizontal="center" vertical="center" shrinkToFit="1"/>
    </xf>
    <xf numFmtId="41" fontId="9" fillId="0" borderId="39" xfId="17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shrinkToFit="1"/>
    </xf>
    <xf numFmtId="41" fontId="9" fillId="0" borderId="2" xfId="17" applyFont="1" applyBorder="1" applyAlignment="1">
      <alignment horizontal="center" vertical="center" shrinkToFit="1"/>
    </xf>
    <xf numFmtId="41" fontId="9" fillId="0" borderId="11" xfId="17" applyFont="1" applyBorder="1" applyAlignment="1">
      <alignment horizontal="center" vertical="center" shrinkToFit="1"/>
    </xf>
    <xf numFmtId="177" fontId="9" fillId="0" borderId="5" xfId="17" applyNumberFormat="1" applyFont="1" applyBorder="1" applyAlignment="1">
      <alignment horizontal="center" vertical="center"/>
    </xf>
    <xf numFmtId="41" fontId="9" fillId="0" borderId="15" xfId="17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1" fontId="9" fillId="0" borderId="14" xfId="17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/>
    </xf>
    <xf numFmtId="41" fontId="9" fillId="0" borderId="0" xfId="17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center" vertical="center" shrinkToFit="1"/>
    </xf>
    <xf numFmtId="177" fontId="9" fillId="0" borderId="3" xfId="17" applyNumberFormat="1" applyFont="1" applyBorder="1" applyAlignment="1">
      <alignment horizontal="center" vertical="center"/>
    </xf>
    <xf numFmtId="178" fontId="9" fillId="0" borderId="3" xfId="17" applyNumberFormat="1" applyFont="1" applyBorder="1" applyAlignment="1">
      <alignment horizontal="center" vertical="center"/>
    </xf>
    <xf numFmtId="41" fontId="9" fillId="0" borderId="33" xfId="17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center" vertical="center" shrinkToFit="1"/>
    </xf>
    <xf numFmtId="177" fontId="9" fillId="0" borderId="14" xfId="17" applyNumberFormat="1" applyFont="1" applyBorder="1" applyAlignment="1">
      <alignment horizontal="center" vertical="center"/>
    </xf>
    <xf numFmtId="178" fontId="9" fillId="0" borderId="14" xfId="17" applyNumberFormat="1" applyFont="1" applyBorder="1" applyAlignment="1">
      <alignment horizontal="center" vertical="center"/>
    </xf>
    <xf numFmtId="41" fontId="9" fillId="0" borderId="34" xfId="17" applyFont="1" applyBorder="1" applyAlignment="1">
      <alignment horizontal="center" vertical="center"/>
    </xf>
    <xf numFmtId="41" fontId="9" fillId="0" borderId="40" xfId="17" applyFont="1" applyBorder="1" applyAlignment="1">
      <alignment horizontal="center" vertical="center"/>
    </xf>
    <xf numFmtId="41" fontId="9" fillId="0" borderId="41" xfId="17" applyFont="1" applyBorder="1" applyAlignment="1">
      <alignment horizontal="center" vertical="center"/>
    </xf>
    <xf numFmtId="177" fontId="9" fillId="0" borderId="36" xfId="17" applyNumberFormat="1" applyFont="1" applyBorder="1" applyAlignment="1">
      <alignment horizontal="center" vertical="center"/>
    </xf>
    <xf numFmtId="178" fontId="9" fillId="0" borderId="36" xfId="17" applyNumberFormat="1" applyFont="1" applyBorder="1" applyAlignment="1">
      <alignment horizontal="center" vertical="center"/>
    </xf>
    <xf numFmtId="41" fontId="9" fillId="0" borderId="42" xfId="17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/>
    </xf>
    <xf numFmtId="41" fontId="9" fillId="0" borderId="3" xfId="17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41" fontId="9" fillId="0" borderId="35" xfId="17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41" fontId="9" fillId="0" borderId="6" xfId="17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41" fontId="9" fillId="0" borderId="43" xfId="17" applyFont="1" applyBorder="1" applyAlignment="1">
      <alignment horizontal="center" vertical="center"/>
    </xf>
    <xf numFmtId="41" fontId="9" fillId="0" borderId="44" xfId="17" applyFont="1" applyBorder="1" applyAlignment="1">
      <alignment horizontal="center" vertical="center"/>
    </xf>
    <xf numFmtId="41" fontId="9" fillId="0" borderId="18" xfId="17" applyFont="1" applyBorder="1" applyAlignment="1">
      <alignment horizontal="center" vertical="center"/>
    </xf>
    <xf numFmtId="177" fontId="9" fillId="0" borderId="2" xfId="17" applyNumberFormat="1" applyFont="1" applyBorder="1" applyAlignment="1">
      <alignment horizontal="center" vertical="center"/>
    </xf>
    <xf numFmtId="41" fontId="9" fillId="0" borderId="0" xfId="17" applyFont="1" applyBorder="1" applyAlignment="1">
      <alignment horizontal="center" vertical="center" shrinkToFit="1"/>
    </xf>
    <xf numFmtId="41" fontId="9" fillId="0" borderId="45" xfId="17" applyFont="1" applyBorder="1" applyAlignment="1">
      <alignment horizontal="left" vertical="center"/>
    </xf>
    <xf numFmtId="41" fontId="9" fillId="0" borderId="46" xfId="17" applyFont="1" applyBorder="1" applyAlignment="1">
      <alignment horizontal="center" vertical="center" shrinkToFit="1"/>
    </xf>
    <xf numFmtId="177" fontId="9" fillId="0" borderId="10" xfId="17" applyNumberFormat="1" applyFont="1" applyBorder="1" applyAlignment="1">
      <alignment horizontal="center" vertical="center"/>
    </xf>
    <xf numFmtId="41" fontId="9" fillId="0" borderId="31" xfId="17" applyFont="1" applyBorder="1" applyAlignment="1">
      <alignment horizontal="center" vertical="center" shrinkToFit="1"/>
    </xf>
    <xf numFmtId="177" fontId="9" fillId="0" borderId="32" xfId="17" applyNumberFormat="1" applyFont="1" applyBorder="1" applyAlignment="1">
      <alignment horizontal="center" vertical="center"/>
    </xf>
    <xf numFmtId="178" fontId="9" fillId="0" borderId="15" xfId="17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177" fontId="9" fillId="0" borderId="15" xfId="17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41" fontId="9" fillId="0" borderId="5" xfId="17" applyFont="1" applyBorder="1" applyAlignment="1">
      <alignment horizontal="center" vertical="center"/>
    </xf>
    <xf numFmtId="177" fontId="9" fillId="0" borderId="37" xfId="17" applyNumberFormat="1" applyFont="1" applyBorder="1" applyAlignment="1">
      <alignment horizontal="center" vertical="center"/>
    </xf>
    <xf numFmtId="178" fontId="9" fillId="0" borderId="31" xfId="17" applyNumberFormat="1" applyFont="1" applyBorder="1" applyAlignment="1">
      <alignment horizontal="center" vertical="center"/>
    </xf>
    <xf numFmtId="178" fontId="9" fillId="0" borderId="11" xfId="17" applyNumberFormat="1" applyFont="1" applyBorder="1" applyAlignment="1">
      <alignment horizontal="center" vertical="center"/>
    </xf>
    <xf numFmtId="178" fontId="9" fillId="0" borderId="17" xfId="17" applyNumberFormat="1" applyFont="1" applyBorder="1" applyAlignment="1">
      <alignment horizontal="center" vertical="center"/>
    </xf>
    <xf numFmtId="177" fontId="9" fillId="0" borderId="17" xfId="17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41" fontId="9" fillId="0" borderId="12" xfId="17" applyFont="1" applyBorder="1" applyAlignment="1">
      <alignment horizontal="center" vertical="center" shrinkToFit="1"/>
    </xf>
    <xf numFmtId="177" fontId="9" fillId="0" borderId="38" xfId="17" applyNumberFormat="1" applyFont="1" applyBorder="1" applyAlignment="1">
      <alignment horizontal="center" vertical="center"/>
    </xf>
    <xf numFmtId="178" fontId="9" fillId="0" borderId="12" xfId="17" applyNumberFormat="1" applyFont="1" applyBorder="1" applyAlignment="1">
      <alignment horizontal="center" vertical="center"/>
    </xf>
    <xf numFmtId="41" fontId="9" fillId="0" borderId="37" xfId="17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left" vertical="center"/>
    </xf>
    <xf numFmtId="177" fontId="9" fillId="0" borderId="45" xfId="17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1" fontId="9" fillId="0" borderId="47" xfId="17" applyFont="1" applyBorder="1" applyAlignment="1">
      <alignment horizontal="center" vertical="center"/>
    </xf>
    <xf numFmtId="177" fontId="9" fillId="0" borderId="11" xfId="17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shrinkToFit="1"/>
    </xf>
    <xf numFmtId="0" fontId="9" fillId="0" borderId="45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41" fontId="9" fillId="0" borderId="18" xfId="17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left" vertical="center" shrinkToFit="1"/>
    </xf>
    <xf numFmtId="41" fontId="9" fillId="0" borderId="37" xfId="17" applyFont="1" applyBorder="1" applyAlignment="1">
      <alignment horizontal="center" vertical="center" shrinkToFit="1"/>
    </xf>
    <xf numFmtId="177" fontId="9" fillId="0" borderId="12" xfId="17" applyNumberFormat="1" applyFont="1" applyBorder="1" applyAlignment="1">
      <alignment horizontal="center" vertical="center"/>
    </xf>
    <xf numFmtId="41" fontId="9" fillId="0" borderId="20" xfId="17" applyFont="1" applyBorder="1" applyAlignment="1">
      <alignment horizontal="center" vertical="center" shrinkToFit="1"/>
    </xf>
    <xf numFmtId="178" fontId="9" fillId="0" borderId="37" xfId="17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41" fontId="9" fillId="0" borderId="20" xfId="17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41" fontId="9" fillId="0" borderId="38" xfId="17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 shrinkToFit="1"/>
    </xf>
    <xf numFmtId="41" fontId="9" fillId="0" borderId="48" xfId="17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1" fontId="11" fillId="0" borderId="15" xfId="17" applyFont="1" applyBorder="1" applyAlignment="1">
      <alignment horizontal="left" vertical="center"/>
    </xf>
    <xf numFmtId="41" fontId="10" fillId="0" borderId="17" xfId="17" applyFont="1" applyBorder="1" applyAlignment="1">
      <alignment horizontal="left" vertical="center"/>
    </xf>
    <xf numFmtId="41" fontId="11" fillId="0" borderId="32" xfId="17" applyFont="1" applyBorder="1" applyAlignment="1">
      <alignment horizontal="center" vertical="center"/>
    </xf>
    <xf numFmtId="41" fontId="9" fillId="0" borderId="11" xfId="17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shrinkToFit="1"/>
    </xf>
    <xf numFmtId="0" fontId="9" fillId="0" borderId="38" xfId="0" applyFont="1" applyBorder="1" applyAlignment="1">
      <alignment horizontal="left" vertical="center" shrinkToFit="1"/>
    </xf>
    <xf numFmtId="41" fontId="10" fillId="0" borderId="15" xfId="17" applyFont="1" applyBorder="1" applyAlignment="1">
      <alignment horizontal="left" vertical="center"/>
    </xf>
    <xf numFmtId="41" fontId="10" fillId="0" borderId="15" xfId="17" applyFont="1" applyBorder="1" applyAlignment="1">
      <alignment vertical="center"/>
    </xf>
    <xf numFmtId="41" fontId="9" fillId="0" borderId="15" xfId="17" applyFont="1" applyBorder="1" applyAlignment="1">
      <alignment vertical="center"/>
    </xf>
    <xf numFmtId="41" fontId="11" fillId="0" borderId="15" xfId="17" applyFont="1" applyBorder="1" applyAlignment="1">
      <alignment vertical="center"/>
    </xf>
    <xf numFmtId="41" fontId="9" fillId="0" borderId="31" xfId="17" applyFont="1" applyBorder="1" applyAlignment="1">
      <alignment horizontal="left" vertical="center"/>
    </xf>
    <xf numFmtId="41" fontId="9" fillId="0" borderId="29" xfId="17" applyFont="1" applyBorder="1" applyAlignment="1">
      <alignment horizontal="center" vertical="center"/>
    </xf>
    <xf numFmtId="41" fontId="9" fillId="0" borderId="17" xfId="17" applyFont="1" applyBorder="1" applyAlignment="1">
      <alignment horizontal="left" vertical="center" shrinkToFit="1"/>
    </xf>
    <xf numFmtId="41" fontId="9" fillId="0" borderId="15" xfId="17" applyFont="1" applyBorder="1" applyAlignment="1">
      <alignment horizontal="left" vertical="center" shrinkToFit="1"/>
    </xf>
    <xf numFmtId="0" fontId="9" fillId="0" borderId="21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shrinkToFit="1"/>
    </xf>
    <xf numFmtId="177" fontId="9" fillId="0" borderId="21" xfId="17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177" fontId="9" fillId="0" borderId="20" xfId="17" applyNumberFormat="1" applyFont="1" applyBorder="1" applyAlignment="1">
      <alignment horizontal="center" vertical="center"/>
    </xf>
    <xf numFmtId="41" fontId="9" fillId="0" borderId="32" xfId="17" applyFont="1" applyBorder="1" applyAlignment="1">
      <alignment horizontal="center" vertical="center" shrinkToFit="1"/>
    </xf>
    <xf numFmtId="41" fontId="9" fillId="0" borderId="12" xfId="17" applyFont="1" applyBorder="1" applyAlignment="1">
      <alignment horizontal="center" vertical="center"/>
    </xf>
    <xf numFmtId="177" fontId="9" fillId="0" borderId="48" xfId="17" applyNumberFormat="1" applyFont="1" applyBorder="1" applyAlignment="1">
      <alignment horizontal="center" vertical="center"/>
    </xf>
    <xf numFmtId="41" fontId="9" fillId="0" borderId="40" xfId="17" applyFont="1" applyBorder="1" applyAlignment="1">
      <alignment horizontal="center" vertical="center" shrinkToFit="1"/>
    </xf>
    <xf numFmtId="0" fontId="9" fillId="0" borderId="4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3" fillId="0" borderId="1" xfId="0" applyFont="1" applyBorder="1" applyAlignment="1">
      <alignment/>
    </xf>
    <xf numFmtId="41" fontId="13" fillId="0" borderId="17" xfId="17" applyFont="1" applyBorder="1" applyAlignment="1">
      <alignment horizontal="left" vertical="center" shrinkToFit="1"/>
    </xf>
    <xf numFmtId="41" fontId="13" fillId="0" borderId="15" xfId="17" applyFont="1" applyBorder="1" applyAlignment="1">
      <alignment horizontal="left" vertical="center" shrinkToFit="1"/>
    </xf>
    <xf numFmtId="0" fontId="13" fillId="0" borderId="13" xfId="0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27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3" fillId="0" borderId="37" xfId="0" applyFont="1" applyBorder="1" applyAlignment="1">
      <alignment horizontal="left" vertical="center"/>
    </xf>
    <xf numFmtId="41" fontId="13" fillId="0" borderId="29" xfId="17" applyFont="1" applyBorder="1" applyAlignment="1">
      <alignment horizontal="center" vertical="center" shrinkToFit="1"/>
    </xf>
    <xf numFmtId="41" fontId="13" fillId="0" borderId="27" xfId="17" applyFont="1" applyBorder="1" applyAlignment="1">
      <alignment horizontal="center" vertical="center" shrinkToFit="1"/>
    </xf>
    <xf numFmtId="41" fontId="13" fillId="0" borderId="11" xfId="17" applyFont="1" applyBorder="1" applyAlignment="1">
      <alignment horizontal="left" vertical="center"/>
    </xf>
    <xf numFmtId="41" fontId="13" fillId="0" borderId="45" xfId="17" applyFont="1" applyBorder="1" applyAlignment="1">
      <alignment horizontal="left" vertical="center"/>
    </xf>
    <xf numFmtId="0" fontId="9" fillId="0" borderId="1" xfId="0" applyFont="1" applyBorder="1" applyAlignment="1">
      <alignment/>
    </xf>
    <xf numFmtId="0" fontId="9" fillId="0" borderId="13" xfId="0" applyFont="1" applyBorder="1" applyAlignment="1">
      <alignment/>
    </xf>
    <xf numFmtId="41" fontId="9" fillId="0" borderId="38" xfId="17" applyFont="1" applyBorder="1" applyAlignment="1">
      <alignment horizontal="left" vertical="center" shrinkToFit="1"/>
    </xf>
    <xf numFmtId="41" fontId="10" fillId="0" borderId="32" xfId="17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41" fontId="9" fillId="0" borderId="34" xfId="17" applyFont="1" applyBorder="1" applyAlignment="1">
      <alignment horizontal="left" vertical="center" shrinkToFit="1"/>
    </xf>
    <xf numFmtId="41" fontId="11" fillId="0" borderId="45" xfId="17" applyFont="1" applyBorder="1" applyAlignment="1">
      <alignment horizontal="left" vertical="center"/>
    </xf>
    <xf numFmtId="41" fontId="9" fillId="0" borderId="11" xfId="17" applyFont="1" applyBorder="1" applyAlignment="1">
      <alignment horizontal="left" vertical="center" shrinkToFit="1"/>
    </xf>
    <xf numFmtId="41" fontId="11" fillId="0" borderId="11" xfId="17" applyFont="1" applyBorder="1" applyAlignment="1">
      <alignment horizontal="left" vertical="center"/>
    </xf>
    <xf numFmtId="41" fontId="13" fillId="0" borderId="31" xfId="17" applyFont="1" applyBorder="1" applyAlignment="1">
      <alignment horizontal="left" vertical="center"/>
    </xf>
    <xf numFmtId="41" fontId="13" fillId="0" borderId="29" xfId="17" applyFont="1" applyBorder="1" applyAlignment="1">
      <alignment horizontal="center" vertical="center"/>
    </xf>
    <xf numFmtId="41" fontId="13" fillId="0" borderId="47" xfId="17" applyFont="1" applyBorder="1" applyAlignment="1">
      <alignment horizontal="center" vertical="center"/>
    </xf>
    <xf numFmtId="41" fontId="10" fillId="0" borderId="31" xfId="17" applyFont="1" applyBorder="1" applyAlignment="1">
      <alignment horizontal="left" vertical="center"/>
    </xf>
    <xf numFmtId="41" fontId="10" fillId="0" borderId="11" xfId="17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41" fontId="11" fillId="0" borderId="31" xfId="17" applyFont="1" applyBorder="1" applyAlignment="1">
      <alignment horizontal="left" vertical="center"/>
    </xf>
    <xf numFmtId="176" fontId="11" fillId="0" borderId="6" xfId="0" applyNumberFormat="1" applyFont="1" applyBorder="1" applyAlignment="1">
      <alignment vertical="center"/>
    </xf>
    <xf numFmtId="176" fontId="11" fillId="0" borderId="6" xfId="0" applyNumberFormat="1" applyFont="1" applyBorder="1" applyAlignment="1">
      <alignment horizontal="left" vertical="center"/>
    </xf>
    <xf numFmtId="176" fontId="9" fillId="0" borderId="9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2" fillId="0" borderId="8" xfId="0" applyFont="1" applyBorder="1" applyAlignment="1">
      <alignment/>
    </xf>
    <xf numFmtId="0" fontId="13" fillId="0" borderId="18" xfId="0" applyFont="1" applyBorder="1" applyAlignment="1">
      <alignment horizontal="center" vertical="center"/>
    </xf>
    <xf numFmtId="0" fontId="13" fillId="0" borderId="8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8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41" fontId="13" fillId="0" borderId="6" xfId="17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41" fontId="12" fillId="0" borderId="32" xfId="17" applyFont="1" applyBorder="1" applyAlignment="1">
      <alignment horizontal="center" vertical="center" shrinkToFit="1"/>
    </xf>
    <xf numFmtId="0" fontId="13" fillId="0" borderId="8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41" fontId="13" fillId="0" borderId="32" xfId="17" applyFont="1" applyBorder="1" applyAlignment="1">
      <alignment horizontal="center" vertical="center" shrinkToFit="1"/>
    </xf>
    <xf numFmtId="0" fontId="9" fillId="0" borderId="3" xfId="0" applyFont="1" applyBorder="1" applyAlignment="1">
      <alignment vertical="center"/>
    </xf>
    <xf numFmtId="41" fontId="11" fillId="0" borderId="30" xfId="17" applyFont="1" applyBorder="1" applyAlignment="1">
      <alignment horizontal="center" vertical="center"/>
    </xf>
    <xf numFmtId="41" fontId="11" fillId="0" borderId="29" xfId="17" applyFont="1" applyBorder="1" applyAlignment="1">
      <alignment horizontal="center" vertical="center"/>
    </xf>
    <xf numFmtId="41" fontId="11" fillId="0" borderId="47" xfId="17" applyFont="1" applyBorder="1" applyAlignment="1">
      <alignment horizontal="center" vertical="center"/>
    </xf>
    <xf numFmtId="41" fontId="11" fillId="0" borderId="0" xfId="17" applyFont="1" applyBorder="1" applyAlignment="1">
      <alignment horizontal="center" vertical="center"/>
    </xf>
    <xf numFmtId="41" fontId="11" fillId="0" borderId="33" xfId="17" applyFont="1" applyBorder="1" applyAlignment="1">
      <alignment horizontal="center" vertical="center"/>
    </xf>
    <xf numFmtId="41" fontId="11" fillId="0" borderId="27" xfId="17" applyFont="1" applyBorder="1" applyAlignment="1">
      <alignment horizontal="center" vertical="center"/>
    </xf>
    <xf numFmtId="41" fontId="11" fillId="0" borderId="28" xfId="17" applyFont="1" applyBorder="1" applyAlignment="1">
      <alignment horizontal="center" vertical="center"/>
    </xf>
    <xf numFmtId="41" fontId="11" fillId="0" borderId="34" xfId="17" applyFont="1" applyBorder="1" applyAlignment="1">
      <alignment horizontal="center" vertical="center"/>
    </xf>
    <xf numFmtId="41" fontId="11" fillId="0" borderId="35" xfId="17" applyFont="1" applyBorder="1" applyAlignment="1">
      <alignment horizontal="center" vertical="center"/>
    </xf>
    <xf numFmtId="41" fontId="9" fillId="0" borderId="31" xfId="17" applyFont="1" applyBorder="1" applyAlignment="1">
      <alignment horizontal="left" vertical="center" shrinkToFit="1"/>
    </xf>
    <xf numFmtId="41" fontId="11" fillId="0" borderId="43" xfId="17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10" fillId="0" borderId="15" xfId="0" applyFont="1" applyBorder="1" applyAlignment="1">
      <alignment horizontal="left" vertical="center" shrinkToFit="1"/>
    </xf>
    <xf numFmtId="0" fontId="10" fillId="0" borderId="31" xfId="0" applyFont="1" applyBorder="1" applyAlignment="1">
      <alignment horizontal="left" vertical="center" shrinkToFit="1"/>
    </xf>
    <xf numFmtId="0" fontId="10" fillId="0" borderId="17" xfId="0" applyFont="1" applyBorder="1" applyAlignment="1">
      <alignment horizontal="left" vertical="center" shrinkToFit="1"/>
    </xf>
    <xf numFmtId="41" fontId="10" fillId="0" borderId="32" xfId="17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8" xfId="0" applyFont="1" applyBorder="1" applyAlignment="1">
      <alignment vertical="center"/>
    </xf>
    <xf numFmtId="0" fontId="9" fillId="0" borderId="49" xfId="0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177" fontId="9" fillId="0" borderId="12" xfId="17" applyNumberFormat="1" applyFont="1" applyBorder="1" applyAlignment="1">
      <alignment vertical="center"/>
    </xf>
    <xf numFmtId="178" fontId="9" fillId="0" borderId="12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176" fontId="21" fillId="0" borderId="50" xfId="0" applyNumberFormat="1" applyFont="1" applyBorder="1" applyAlignment="1">
      <alignment vertical="center" wrapText="1"/>
    </xf>
    <xf numFmtId="177" fontId="21" fillId="0" borderId="51" xfId="17" applyNumberFormat="1" applyFont="1" applyBorder="1" applyAlignment="1">
      <alignment horizontal="center" vertical="center"/>
    </xf>
    <xf numFmtId="177" fontId="21" fillId="0" borderId="4" xfId="17" applyNumberFormat="1" applyFont="1" applyBorder="1" applyAlignment="1">
      <alignment horizontal="center" vertical="center"/>
    </xf>
    <xf numFmtId="182" fontId="21" fillId="0" borderId="52" xfId="0" applyNumberFormat="1" applyFont="1" applyBorder="1" applyAlignment="1">
      <alignment vertical="center"/>
    </xf>
    <xf numFmtId="177" fontId="21" fillId="0" borderId="53" xfId="17" applyNumberFormat="1" applyFont="1" applyBorder="1" applyAlignment="1">
      <alignment horizontal="center" vertical="center"/>
    </xf>
    <xf numFmtId="177" fontId="21" fillId="0" borderId="54" xfId="17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76" fontId="21" fillId="0" borderId="6" xfId="0" applyNumberFormat="1" applyFont="1" applyBorder="1" applyAlignment="1">
      <alignment vertical="center"/>
    </xf>
    <xf numFmtId="177" fontId="21" fillId="0" borderId="55" xfId="17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182" fontId="21" fillId="0" borderId="6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176" fontId="21" fillId="0" borderId="55" xfId="0" applyNumberFormat="1" applyFont="1" applyBorder="1" applyAlignment="1">
      <alignment horizontal="center" vertical="center"/>
    </xf>
    <xf numFmtId="176" fontId="21" fillId="0" borderId="7" xfId="17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76" fontId="21" fillId="0" borderId="55" xfId="17" applyNumberFormat="1" applyFont="1" applyBorder="1" applyAlignment="1">
      <alignment horizontal="center" vertical="center"/>
    </xf>
    <xf numFmtId="177" fontId="21" fillId="0" borderId="7" xfId="17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177" fontId="21" fillId="0" borderId="55" xfId="0" applyNumberFormat="1" applyFont="1" applyBorder="1" applyAlignment="1">
      <alignment horizontal="center" vertical="center"/>
    </xf>
    <xf numFmtId="176" fontId="21" fillId="0" borderId="7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176" fontId="21" fillId="0" borderId="5" xfId="0" applyNumberFormat="1" applyFont="1" applyBorder="1" applyAlignment="1">
      <alignment vertical="center"/>
    </xf>
    <xf numFmtId="177" fontId="21" fillId="0" borderId="56" xfId="17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76" fontId="21" fillId="0" borderId="3" xfId="0" applyNumberFormat="1" applyFont="1" applyBorder="1" applyAlignment="1">
      <alignment vertical="center"/>
    </xf>
    <xf numFmtId="176" fontId="21" fillId="0" borderId="57" xfId="17" applyNumberFormat="1" applyFont="1" applyBorder="1" applyAlignment="1">
      <alignment horizontal="center" vertical="center"/>
    </xf>
    <xf numFmtId="176" fontId="21" fillId="0" borderId="57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177" fontId="21" fillId="0" borderId="7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176" fontId="21" fillId="0" borderId="14" xfId="0" applyNumberFormat="1" applyFont="1" applyBorder="1" applyAlignment="1">
      <alignment vertical="center"/>
    </xf>
    <xf numFmtId="176" fontId="21" fillId="0" borderId="58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182" fontId="21" fillId="0" borderId="12" xfId="0" applyNumberFormat="1" applyFont="1" applyBorder="1" applyAlignment="1">
      <alignment vertical="center"/>
    </xf>
    <xf numFmtId="177" fontId="21" fillId="0" borderId="22" xfId="17" applyNumberFormat="1" applyFont="1" applyBorder="1" applyAlignment="1">
      <alignment horizontal="center" vertical="center"/>
    </xf>
    <xf numFmtId="182" fontId="21" fillId="0" borderId="36" xfId="0" applyNumberFormat="1" applyFont="1" applyBorder="1" applyAlignment="1">
      <alignment vertical="center"/>
    </xf>
    <xf numFmtId="177" fontId="21" fillId="0" borderId="59" xfId="17" applyNumberFormat="1" applyFont="1" applyBorder="1" applyAlignment="1">
      <alignment horizontal="center" vertical="center"/>
    </xf>
    <xf numFmtId="182" fontId="21" fillId="0" borderId="2" xfId="0" applyNumberFormat="1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176" fontId="21" fillId="0" borderId="12" xfId="0" applyNumberFormat="1" applyFont="1" applyBorder="1" applyAlignment="1">
      <alignment vertical="center"/>
    </xf>
    <xf numFmtId="176" fontId="21" fillId="0" borderId="22" xfId="17" applyNumberFormat="1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177" fontId="21" fillId="0" borderId="60" xfId="17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177" fontId="21" fillId="0" borderId="61" xfId="17" applyNumberFormat="1" applyFont="1" applyBorder="1" applyAlignment="1">
      <alignment horizontal="center" vertical="center"/>
    </xf>
    <xf numFmtId="177" fontId="9" fillId="0" borderId="12" xfId="0" applyNumberFormat="1" applyFont="1" applyBorder="1" applyAlignment="1">
      <alignment vertical="center"/>
    </xf>
    <xf numFmtId="177" fontId="9" fillId="0" borderId="2" xfId="0" applyNumberFormat="1" applyFont="1" applyBorder="1" applyAlignment="1">
      <alignment horizontal="center" vertical="center"/>
    </xf>
    <xf numFmtId="41" fontId="9" fillId="0" borderId="4" xfId="17" applyFont="1" applyBorder="1" applyAlignment="1">
      <alignment horizontal="center" vertical="center"/>
    </xf>
    <xf numFmtId="41" fontId="13" fillId="0" borderId="12" xfId="17" applyFont="1" applyBorder="1" applyAlignment="1">
      <alignment horizontal="center" vertical="center"/>
    </xf>
    <xf numFmtId="176" fontId="11" fillId="0" borderId="9" xfId="0" applyNumberFormat="1" applyFont="1" applyBorder="1" applyAlignment="1">
      <alignment vertical="center"/>
    </xf>
    <xf numFmtId="41" fontId="11" fillId="0" borderId="38" xfId="17" applyFont="1" applyBorder="1" applyAlignment="1">
      <alignment horizontal="left" vertical="center" shrinkToFit="1"/>
    </xf>
    <xf numFmtId="176" fontId="9" fillId="2" borderId="12" xfId="0" applyNumberFormat="1" applyFont="1" applyFill="1" applyBorder="1" applyAlignment="1">
      <alignment horizontal="center" vertical="center"/>
    </xf>
    <xf numFmtId="176" fontId="9" fillId="2" borderId="22" xfId="0" applyNumberFormat="1" applyFont="1" applyFill="1" applyBorder="1" applyAlignment="1">
      <alignment horizontal="center" vertical="center"/>
    </xf>
    <xf numFmtId="176" fontId="9" fillId="2" borderId="36" xfId="0" applyNumberFormat="1" applyFont="1" applyFill="1" applyBorder="1" applyAlignment="1">
      <alignment horizontal="center" vertical="center"/>
    </xf>
    <xf numFmtId="41" fontId="9" fillId="0" borderId="36" xfId="17" applyFont="1" applyBorder="1" applyAlignment="1">
      <alignment vertical="center"/>
    </xf>
    <xf numFmtId="177" fontId="9" fillId="0" borderId="36" xfId="17" applyNumberFormat="1" applyFont="1" applyBorder="1" applyAlignment="1">
      <alignment horizontal="right" vertical="center"/>
    </xf>
    <xf numFmtId="178" fontId="9" fillId="0" borderId="36" xfId="0" applyNumberFormat="1" applyFont="1" applyBorder="1" applyAlignment="1">
      <alignment horizontal="right" vertical="center"/>
    </xf>
    <xf numFmtId="178" fontId="9" fillId="0" borderId="62" xfId="0" applyNumberFormat="1" applyFont="1" applyBorder="1" applyAlignment="1">
      <alignment horizontal="right" vertical="center"/>
    </xf>
    <xf numFmtId="176" fontId="11" fillId="0" borderId="1" xfId="0" applyNumberFormat="1" applyFont="1" applyBorder="1" applyAlignment="1">
      <alignment vertical="center"/>
    </xf>
    <xf numFmtId="176" fontId="10" fillId="0" borderId="2" xfId="0" applyNumberFormat="1" applyFont="1" applyBorder="1" applyAlignment="1">
      <alignment vertical="center"/>
    </xf>
    <xf numFmtId="176" fontId="9" fillId="0" borderId="17" xfId="0" applyNumberFormat="1" applyFont="1" applyBorder="1" applyAlignment="1">
      <alignment horizontal="right" vertical="center"/>
    </xf>
    <xf numFmtId="176" fontId="9" fillId="0" borderId="36" xfId="0" applyNumberFormat="1" applyFont="1" applyBorder="1" applyAlignment="1">
      <alignment vertical="center"/>
    </xf>
    <xf numFmtId="177" fontId="9" fillId="0" borderId="36" xfId="0" applyNumberFormat="1" applyFont="1" applyBorder="1" applyAlignment="1">
      <alignment vertical="center"/>
    </xf>
    <xf numFmtId="180" fontId="9" fillId="0" borderId="36" xfId="0" applyNumberFormat="1" applyFont="1" applyBorder="1" applyAlignment="1">
      <alignment vertical="center"/>
    </xf>
    <xf numFmtId="180" fontId="9" fillId="0" borderId="62" xfId="0" applyNumberFormat="1" applyFont="1" applyBorder="1" applyAlignment="1">
      <alignment vertical="center"/>
    </xf>
    <xf numFmtId="177" fontId="9" fillId="0" borderId="36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41" fontId="9" fillId="0" borderId="33" xfId="17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/>
    </xf>
    <xf numFmtId="177" fontId="9" fillId="0" borderId="64" xfId="17" applyNumberFormat="1" applyFont="1" applyBorder="1" applyAlignment="1">
      <alignment horizontal="center" vertical="center"/>
    </xf>
    <xf numFmtId="41" fontId="9" fillId="0" borderId="63" xfId="17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77" fontId="13" fillId="0" borderId="64" xfId="17" applyNumberFormat="1" applyFont="1" applyBorder="1" applyAlignment="1">
      <alignment horizontal="center" vertical="center"/>
    </xf>
    <xf numFmtId="178" fontId="13" fillId="0" borderId="36" xfId="17" applyNumberFormat="1" applyFont="1" applyBorder="1" applyAlignment="1">
      <alignment horizontal="center" vertical="center"/>
    </xf>
    <xf numFmtId="41" fontId="13" fillId="0" borderId="42" xfId="17" applyFont="1" applyBorder="1" applyAlignment="1">
      <alignment horizontal="center" vertical="center" shrinkToFit="1"/>
    </xf>
    <xf numFmtId="41" fontId="12" fillId="0" borderId="46" xfId="17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/>
    </xf>
    <xf numFmtId="0" fontId="9" fillId="0" borderId="49" xfId="0" applyFont="1" applyBorder="1" applyAlignment="1">
      <alignment vertical="center"/>
    </xf>
    <xf numFmtId="41" fontId="11" fillId="0" borderId="38" xfId="17" applyFont="1" applyBorder="1" applyAlignment="1">
      <alignment horizontal="left" vertical="center"/>
    </xf>
    <xf numFmtId="41" fontId="9" fillId="0" borderId="14" xfId="17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left" vertical="center"/>
    </xf>
    <xf numFmtId="176" fontId="9" fillId="0" borderId="6" xfId="0" applyNumberFormat="1" applyFont="1" applyBorder="1" applyAlignment="1">
      <alignment horizontal="left"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8" fillId="0" borderId="34" xfId="0" applyNumberFormat="1" applyFont="1" applyBorder="1" applyAlignment="1">
      <alignment horizontal="right" vertical="center"/>
    </xf>
    <xf numFmtId="0" fontId="0" fillId="0" borderId="34" xfId="0" applyBorder="1" applyAlignment="1">
      <alignment horizontal="right"/>
    </xf>
    <xf numFmtId="176" fontId="9" fillId="2" borderId="42" xfId="0" applyNumberFormat="1" applyFont="1" applyFill="1" applyBorder="1" applyAlignment="1">
      <alignment horizontal="center" vertical="center"/>
    </xf>
    <xf numFmtId="176" fontId="9" fillId="2" borderId="46" xfId="0" applyNumberFormat="1" applyFont="1" applyFill="1" applyBorder="1" applyAlignment="1">
      <alignment horizontal="center" vertical="center"/>
    </xf>
    <xf numFmtId="176" fontId="9" fillId="2" borderId="64" xfId="0" applyNumberFormat="1" applyFont="1" applyFill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  <xf numFmtId="176" fontId="9" fillId="0" borderId="65" xfId="0" applyNumberFormat="1" applyFont="1" applyBorder="1" applyAlignment="1">
      <alignment horizontal="center" vertical="center"/>
    </xf>
    <xf numFmtId="176" fontId="9" fillId="0" borderId="36" xfId="0" applyNumberFormat="1" applyFont="1" applyBorder="1" applyAlignment="1">
      <alignment horizontal="center" vertical="center"/>
    </xf>
    <xf numFmtId="176" fontId="9" fillId="0" borderId="36" xfId="0" applyNumberFormat="1" applyFont="1" applyBorder="1" applyAlignment="1">
      <alignment horizontal="center" vertical="center" wrapText="1"/>
    </xf>
    <xf numFmtId="176" fontId="9" fillId="0" borderId="15" xfId="0" applyNumberFormat="1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176" fontId="9" fillId="2" borderId="10" xfId="0" applyNumberFormat="1" applyFont="1" applyFill="1" applyBorder="1" applyAlignment="1">
      <alignment horizontal="center" vertical="center"/>
    </xf>
    <xf numFmtId="176" fontId="9" fillId="2" borderId="48" xfId="0" applyNumberFormat="1" applyFont="1" applyFill="1" applyBorder="1" applyAlignment="1">
      <alignment horizontal="center" vertical="center"/>
    </xf>
    <xf numFmtId="176" fontId="9" fillId="0" borderId="66" xfId="0" applyNumberFormat="1" applyFont="1" applyFill="1" applyBorder="1" applyAlignment="1">
      <alignment horizontal="center" vertical="center"/>
    </xf>
    <xf numFmtId="176" fontId="9" fillId="0" borderId="46" xfId="0" applyNumberFormat="1" applyFont="1" applyFill="1" applyBorder="1" applyAlignment="1">
      <alignment horizontal="center" vertical="center"/>
    </xf>
    <xf numFmtId="176" fontId="9" fillId="0" borderId="64" xfId="0" applyNumberFormat="1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2" borderId="66" xfId="0" applyNumberFormat="1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9" fillId="0" borderId="65" xfId="0" applyNumberFormat="1" applyFont="1" applyFill="1" applyBorder="1" applyAlignment="1">
      <alignment horizontal="center" vertical="center"/>
    </xf>
    <xf numFmtId="176" fontId="9" fillId="0" borderId="36" xfId="0" applyNumberFormat="1" applyFont="1" applyFill="1" applyBorder="1" applyAlignment="1">
      <alignment horizontal="center" vertical="center"/>
    </xf>
    <xf numFmtId="176" fontId="9" fillId="0" borderId="62" xfId="0" applyNumberFormat="1" applyFont="1" applyFill="1" applyBorder="1" applyAlignment="1">
      <alignment horizontal="center" vertical="center"/>
    </xf>
    <xf numFmtId="176" fontId="9" fillId="2" borderId="16" xfId="0" applyNumberFormat="1" applyFont="1" applyFill="1" applyBorder="1" applyAlignment="1">
      <alignment horizontal="center" vertical="center"/>
    </xf>
    <xf numFmtId="176" fontId="9" fillId="2" borderId="26" xfId="0" applyNumberFormat="1" applyFont="1" applyFill="1" applyBorder="1" applyAlignment="1">
      <alignment horizontal="center" vertical="center"/>
    </xf>
    <xf numFmtId="176" fontId="9" fillId="2" borderId="6" xfId="0" applyNumberFormat="1" applyFont="1" applyFill="1" applyBorder="1" applyAlignment="1">
      <alignment horizontal="center" vertical="center"/>
    </xf>
    <xf numFmtId="176" fontId="9" fillId="2" borderId="12" xfId="0" applyNumberFormat="1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4" xfId="0" applyFont="1" applyBorder="1" applyAlignment="1">
      <alignment vertical="center"/>
    </xf>
    <xf numFmtId="0" fontId="9" fillId="0" borderId="7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7" xfId="0" applyFont="1" applyBorder="1" applyAlignment="1">
      <alignment horizontal="center" vertical="center" shrinkToFit="1"/>
    </xf>
    <xf numFmtId="41" fontId="9" fillId="0" borderId="5" xfId="17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69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177" fontId="9" fillId="0" borderId="5" xfId="17" applyNumberFormat="1" applyFont="1" applyBorder="1" applyAlignment="1">
      <alignment horizontal="center" vertical="center"/>
    </xf>
    <xf numFmtId="178" fontId="9" fillId="0" borderId="5" xfId="17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4" xfId="0" applyFont="1" applyBorder="1" applyAlignment="1">
      <alignment/>
    </xf>
    <xf numFmtId="0" fontId="9" fillId="0" borderId="7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3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3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2" fillId="0" borderId="46" xfId="0" applyFont="1" applyBorder="1" applyAlignment="1">
      <alignment/>
    </xf>
    <xf numFmtId="0" fontId="12" fillId="0" borderId="64" xfId="0" applyFont="1" applyBorder="1" applyAlignment="1">
      <alignment/>
    </xf>
    <xf numFmtId="0" fontId="13" fillId="0" borderId="7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5" fillId="0" borderId="34" xfId="0" applyFont="1" applyBorder="1" applyAlignment="1">
      <alignment horizontal="right" vertical="center"/>
    </xf>
    <xf numFmtId="0" fontId="18" fillId="3" borderId="65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4" borderId="59" xfId="0" applyFont="1" applyFill="1" applyBorder="1" applyAlignment="1">
      <alignment horizontal="center" vertical="center"/>
    </xf>
    <xf numFmtId="0" fontId="0" fillId="4" borderId="64" xfId="0" applyFont="1" applyFill="1" applyBorder="1" applyAlignment="1">
      <alignment horizontal="center" vertical="center"/>
    </xf>
    <xf numFmtId="0" fontId="0" fillId="4" borderId="62" xfId="0" applyFont="1" applyFill="1" applyBorder="1" applyAlignment="1">
      <alignment horizontal="center" vertical="center"/>
    </xf>
    <xf numFmtId="0" fontId="21" fillId="0" borderId="74" xfId="0" applyFont="1" applyBorder="1" applyAlignment="1">
      <alignment horizontal="center" vertical="center" wrapText="1"/>
    </xf>
    <xf numFmtId="0" fontId="1" fillId="0" borderId="75" xfId="0" applyFont="1" applyBorder="1" applyAlignment="1">
      <alignment/>
    </xf>
    <xf numFmtId="0" fontId="1" fillId="0" borderId="76" xfId="0" applyFont="1" applyBorder="1" applyAlignment="1">
      <alignment/>
    </xf>
    <xf numFmtId="176" fontId="21" fillId="0" borderId="75" xfId="17" applyNumberFormat="1" applyFont="1" applyBorder="1" applyAlignment="1">
      <alignment horizontal="center" vertical="center"/>
    </xf>
    <xf numFmtId="176" fontId="21" fillId="0" borderId="76" xfId="17" applyNumberFormat="1" applyFont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/>
    </xf>
    <xf numFmtId="0" fontId="19" fillId="3" borderId="61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19" fillId="3" borderId="48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3" borderId="45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0" borderId="7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 wrapText="1"/>
    </xf>
    <xf numFmtId="0" fontId="19" fillId="0" borderId="8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 wrapText="1"/>
    </xf>
    <xf numFmtId="0" fontId="19" fillId="0" borderId="83" xfId="0" applyFont="1" applyBorder="1" applyAlignment="1">
      <alignment horizontal="center" vertical="center" wrapText="1"/>
    </xf>
    <xf numFmtId="0" fontId="21" fillId="0" borderId="84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1" fillId="0" borderId="64" xfId="0" applyFont="1" applyBorder="1" applyAlignment="1">
      <alignment vertical="center"/>
    </xf>
    <xf numFmtId="0" fontId="21" fillId="0" borderId="81" xfId="0" applyFont="1" applyBorder="1" applyAlignment="1">
      <alignment horizontal="center" vertical="center" wrapText="1"/>
    </xf>
    <xf numFmtId="0" fontId="21" fillId="0" borderId="8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13" xfId="0" applyBorder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1" fillId="0" borderId="85" xfId="0" applyFont="1" applyBorder="1" applyAlignment="1">
      <alignment horizontal="center" vertical="center" wrapText="1"/>
    </xf>
    <xf numFmtId="0" fontId="1" fillId="0" borderId="81" xfId="0" applyFont="1" applyBorder="1" applyAlignment="1">
      <alignment vertical="center"/>
    </xf>
    <xf numFmtId="0" fontId="0" fillId="0" borderId="83" xfId="0" applyBorder="1" applyAlignment="1">
      <alignment/>
    </xf>
    <xf numFmtId="0" fontId="21" fillId="0" borderId="27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zoomScale="75" zoomScaleNormal="75" workbookViewId="0" topLeftCell="A35">
      <selection activeCell="I39" sqref="I39"/>
    </sheetView>
  </sheetViews>
  <sheetFormatPr defaultColWidth="8.88671875" defaultRowHeight="13.5"/>
  <cols>
    <col min="1" max="1" width="8.6640625" style="0" customWidth="1"/>
    <col min="2" max="2" width="9.77734375" style="0" customWidth="1"/>
    <col min="3" max="3" width="11.21484375" style="0" customWidth="1"/>
    <col min="4" max="4" width="7.88671875" style="0" customWidth="1"/>
    <col min="5" max="5" width="8.99609375" style="0" customWidth="1"/>
    <col min="6" max="6" width="7.6640625" style="0" customWidth="1"/>
    <col min="7" max="7" width="7.21484375" style="0" customWidth="1"/>
    <col min="8" max="8" width="7.88671875" style="0" customWidth="1"/>
    <col min="9" max="9" width="10.21484375" style="0" customWidth="1"/>
    <col min="10" max="10" width="13.99609375" style="0" customWidth="1"/>
    <col min="11" max="11" width="7.99609375" style="0" customWidth="1"/>
    <col min="12" max="12" width="9.99609375" style="0" bestFit="1" customWidth="1"/>
    <col min="13" max="13" width="6.88671875" style="0" customWidth="1"/>
    <col min="14" max="14" width="6.4453125" style="0" customWidth="1"/>
  </cols>
  <sheetData>
    <row r="1" spans="1:14" ht="39.75" customHeight="1">
      <c r="A1" s="565" t="s">
        <v>1094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</row>
    <row r="2" spans="1:14" ht="21.75" customHeight="1" thickBot="1">
      <c r="A2" s="2" t="s">
        <v>0</v>
      </c>
      <c r="B2" s="2"/>
      <c r="C2" s="2"/>
      <c r="D2" s="2"/>
      <c r="E2" s="2" t="s">
        <v>1</v>
      </c>
      <c r="F2" s="2"/>
      <c r="G2" s="2"/>
      <c r="H2" s="2"/>
      <c r="I2" s="2"/>
      <c r="J2" s="2"/>
      <c r="K2" s="2"/>
      <c r="L2" s="541" t="s">
        <v>41</v>
      </c>
      <c r="M2" s="542"/>
      <c r="N2" s="542"/>
    </row>
    <row r="3" spans="1:14" ht="21" customHeight="1">
      <c r="A3" s="566" t="s">
        <v>283</v>
      </c>
      <c r="B3" s="567"/>
      <c r="C3" s="567"/>
      <c r="D3" s="567"/>
      <c r="E3" s="567"/>
      <c r="F3" s="567"/>
      <c r="G3" s="567"/>
      <c r="H3" s="567" t="s">
        <v>284</v>
      </c>
      <c r="I3" s="567"/>
      <c r="J3" s="567"/>
      <c r="K3" s="567"/>
      <c r="L3" s="567"/>
      <c r="M3" s="567"/>
      <c r="N3" s="568"/>
    </row>
    <row r="4" spans="1:14" ht="13.5">
      <c r="A4" s="569" t="s">
        <v>285</v>
      </c>
      <c r="B4" s="571" t="s">
        <v>286</v>
      </c>
      <c r="C4" s="571" t="s">
        <v>287</v>
      </c>
      <c r="D4" s="571" t="s">
        <v>1073</v>
      </c>
      <c r="E4" s="571" t="s">
        <v>1074</v>
      </c>
      <c r="F4" s="571" t="s">
        <v>288</v>
      </c>
      <c r="G4" s="571"/>
      <c r="H4" s="571" t="s">
        <v>285</v>
      </c>
      <c r="I4" s="571" t="s">
        <v>286</v>
      </c>
      <c r="J4" s="571" t="s">
        <v>287</v>
      </c>
      <c r="K4" s="571" t="s">
        <v>1073</v>
      </c>
      <c r="L4" s="571" t="s">
        <v>1074</v>
      </c>
      <c r="M4" s="571" t="s">
        <v>288</v>
      </c>
      <c r="N4" s="573"/>
    </row>
    <row r="5" spans="1:14" ht="14.25" thickBot="1">
      <c r="A5" s="570"/>
      <c r="B5" s="572"/>
      <c r="C5" s="572"/>
      <c r="D5" s="572"/>
      <c r="E5" s="572"/>
      <c r="F5" s="501" t="s">
        <v>289</v>
      </c>
      <c r="G5" s="501" t="s">
        <v>290</v>
      </c>
      <c r="H5" s="572"/>
      <c r="I5" s="572"/>
      <c r="J5" s="572"/>
      <c r="K5" s="572"/>
      <c r="L5" s="572"/>
      <c r="M5" s="501" t="s">
        <v>289</v>
      </c>
      <c r="N5" s="502" t="s">
        <v>290</v>
      </c>
    </row>
    <row r="6" spans="1:14" ht="22.5" customHeight="1">
      <c r="A6" s="559" t="s">
        <v>291</v>
      </c>
      <c r="B6" s="560"/>
      <c r="C6" s="552"/>
      <c r="D6" s="503">
        <v>636789</v>
      </c>
      <c r="E6" s="504">
        <v>645575</v>
      </c>
      <c r="F6" s="505">
        <f aca="true" t="shared" si="0" ref="F6:F14">E6-D6</f>
        <v>8786</v>
      </c>
      <c r="G6" s="506">
        <f>F6*100/D6</f>
        <v>1.3797348886365814</v>
      </c>
      <c r="H6" s="543" t="s">
        <v>292</v>
      </c>
      <c r="I6" s="544"/>
      <c r="J6" s="545"/>
      <c r="K6" s="503">
        <v>636789</v>
      </c>
      <c r="L6" s="504">
        <v>645575</v>
      </c>
      <c r="M6" s="505">
        <f aca="true" t="shared" si="1" ref="M6:M12">L6-K6</f>
        <v>8786</v>
      </c>
      <c r="N6" s="507">
        <f aca="true" t="shared" si="2" ref="N6:N12">M6*100/K6</f>
        <v>1.3797348886365814</v>
      </c>
    </row>
    <row r="7" spans="1:14" ht="18.75" customHeight="1">
      <c r="A7" s="561" t="s">
        <v>1088</v>
      </c>
      <c r="B7" s="562"/>
      <c r="C7" s="562"/>
      <c r="D7" s="21">
        <f>D8+D15+D41+D43+D45+D50</f>
        <v>468511</v>
      </c>
      <c r="E7" s="21">
        <f>E8+E15+E42+E44+E46+E51</f>
        <v>479032</v>
      </c>
      <c r="F7" s="15">
        <f t="shared" si="0"/>
        <v>10521</v>
      </c>
      <c r="G7" s="16">
        <f>F7*100/D7</f>
        <v>2.2456249693176895</v>
      </c>
      <c r="H7" s="563" t="s">
        <v>1089</v>
      </c>
      <c r="I7" s="563"/>
      <c r="J7" s="563"/>
      <c r="K7" s="21">
        <f>K8+K49+K57+K83+K85+K87</f>
        <v>468511</v>
      </c>
      <c r="L7" s="21">
        <f>L8+L49+L57+L83+L85+L87</f>
        <v>479032</v>
      </c>
      <c r="M7" s="15">
        <f t="shared" si="1"/>
        <v>10521</v>
      </c>
      <c r="N7" s="19">
        <f t="shared" si="2"/>
        <v>2.2456249693176895</v>
      </c>
    </row>
    <row r="8" spans="1:14" ht="16.5" customHeight="1">
      <c r="A8" s="3" t="s">
        <v>293</v>
      </c>
      <c r="B8" s="564" t="s">
        <v>294</v>
      </c>
      <c r="C8" s="564"/>
      <c r="D8" s="5">
        <f>SUM(D10:D14)</f>
        <v>20910</v>
      </c>
      <c r="E8" s="5">
        <f>SUM(E10:E14)</f>
        <v>21950</v>
      </c>
      <c r="F8" s="6">
        <f t="shared" si="0"/>
        <v>1040</v>
      </c>
      <c r="G8" s="7">
        <f>F8*100/D8</f>
        <v>4.973696795791487</v>
      </c>
      <c r="H8" s="8" t="s">
        <v>295</v>
      </c>
      <c r="I8" s="564" t="s">
        <v>294</v>
      </c>
      <c r="J8" s="564"/>
      <c r="K8" s="9">
        <f>K9+K17+K25+K37+K41+K47+K48</f>
        <v>295865</v>
      </c>
      <c r="L8" s="9">
        <f>L9+L17+L25+L37+L41+L47+L48</f>
        <v>296772</v>
      </c>
      <c r="M8" s="6">
        <f t="shared" si="1"/>
        <v>907</v>
      </c>
      <c r="N8" s="10">
        <f t="shared" si="2"/>
        <v>0.306558734557991</v>
      </c>
    </row>
    <row r="9" spans="1:14" ht="17.25" customHeight="1">
      <c r="A9" s="11"/>
      <c r="B9" s="12" t="s">
        <v>296</v>
      </c>
      <c r="C9" s="13" t="s">
        <v>297</v>
      </c>
      <c r="D9" s="14">
        <f>SUM(D10:D14)</f>
        <v>20910</v>
      </c>
      <c r="E9" s="14">
        <f>SUM(E10:E14)</f>
        <v>21950</v>
      </c>
      <c r="F9" s="15">
        <f t="shared" si="0"/>
        <v>1040</v>
      </c>
      <c r="G9" s="16">
        <f>F9*100/D9</f>
        <v>4.973696795791487</v>
      </c>
      <c r="H9" s="17"/>
      <c r="I9" s="18" t="s">
        <v>298</v>
      </c>
      <c r="J9" s="13" t="s">
        <v>297</v>
      </c>
      <c r="K9" s="14">
        <f>SUM(K10:K16)</f>
        <v>186590</v>
      </c>
      <c r="L9" s="14">
        <f>SUM(L10:L16)</f>
        <v>188638</v>
      </c>
      <c r="M9" s="15">
        <f t="shared" si="1"/>
        <v>2048</v>
      </c>
      <c r="N9" s="19">
        <f t="shared" si="2"/>
        <v>1.0975936545366847</v>
      </c>
    </row>
    <row r="10" spans="1:14" ht="17.25" customHeight="1">
      <c r="A10" s="11"/>
      <c r="B10" s="17"/>
      <c r="C10" s="20" t="s">
        <v>966</v>
      </c>
      <c r="D10" s="14">
        <v>450</v>
      </c>
      <c r="E10" s="14">
        <v>450</v>
      </c>
      <c r="F10" s="21">
        <f t="shared" si="0"/>
        <v>0</v>
      </c>
      <c r="G10" s="22">
        <v>0</v>
      </c>
      <c r="H10" s="17"/>
      <c r="I10" s="23" t="s">
        <v>959</v>
      </c>
      <c r="J10" s="14" t="s">
        <v>299</v>
      </c>
      <c r="K10" s="14">
        <v>71598</v>
      </c>
      <c r="L10" s="14">
        <v>74711</v>
      </c>
      <c r="M10" s="21">
        <f t="shared" si="1"/>
        <v>3113</v>
      </c>
      <c r="N10" s="24">
        <f t="shared" si="2"/>
        <v>4.3478868124807954</v>
      </c>
    </row>
    <row r="11" spans="1:14" ht="17.25" customHeight="1">
      <c r="A11" s="11"/>
      <c r="B11" s="17"/>
      <c r="C11" s="390" t="s">
        <v>967</v>
      </c>
      <c r="D11" s="14">
        <v>2100</v>
      </c>
      <c r="E11" s="14">
        <v>5500</v>
      </c>
      <c r="F11" s="21">
        <f t="shared" si="0"/>
        <v>3400</v>
      </c>
      <c r="G11" s="22">
        <v>0</v>
      </c>
      <c r="H11" s="17"/>
      <c r="I11" s="17"/>
      <c r="J11" s="14" t="s">
        <v>300</v>
      </c>
      <c r="K11" s="14">
        <v>34745</v>
      </c>
      <c r="L11" s="14">
        <v>35685</v>
      </c>
      <c r="M11" s="21">
        <f t="shared" si="1"/>
        <v>940</v>
      </c>
      <c r="N11" s="24">
        <f t="shared" si="2"/>
        <v>2.7054252410418766</v>
      </c>
    </row>
    <row r="12" spans="1:14" ht="17.25" customHeight="1">
      <c r="A12" s="11"/>
      <c r="B12" s="17"/>
      <c r="C12" s="20" t="s">
        <v>968</v>
      </c>
      <c r="D12" s="14">
        <v>10560</v>
      </c>
      <c r="E12" s="14">
        <v>7000</v>
      </c>
      <c r="F12" s="15">
        <f t="shared" si="0"/>
        <v>-3560</v>
      </c>
      <c r="G12" s="16">
        <f>F12*100/D12</f>
        <v>-33.71212121212121</v>
      </c>
      <c r="H12" s="17"/>
      <c r="I12" s="17"/>
      <c r="J12" s="14" t="s">
        <v>301</v>
      </c>
      <c r="K12" s="14">
        <v>37069</v>
      </c>
      <c r="L12" s="14">
        <v>37591</v>
      </c>
      <c r="M12" s="21">
        <f t="shared" si="1"/>
        <v>522</v>
      </c>
      <c r="N12" s="24">
        <f t="shared" si="2"/>
        <v>1.4081847365723381</v>
      </c>
    </row>
    <row r="13" spans="1:14" ht="17.25" customHeight="1">
      <c r="A13" s="11"/>
      <c r="B13" s="17"/>
      <c r="C13" s="20" t="s">
        <v>969</v>
      </c>
      <c r="D13" s="14">
        <v>0</v>
      </c>
      <c r="E13" s="14">
        <v>1200</v>
      </c>
      <c r="F13" s="21">
        <f t="shared" si="0"/>
        <v>1200</v>
      </c>
      <c r="G13" s="22">
        <v>0</v>
      </c>
      <c r="H13" s="17"/>
      <c r="I13" s="17"/>
      <c r="J13" s="26" t="s">
        <v>302</v>
      </c>
      <c r="K13" s="14">
        <v>13031</v>
      </c>
      <c r="L13" s="14">
        <v>12467</v>
      </c>
      <c r="M13" s="15">
        <f>L13-K13</f>
        <v>-564</v>
      </c>
      <c r="N13" s="19">
        <f aca="true" t="shared" si="3" ref="N13:N20">M13*100/K13</f>
        <v>-4.328140587829023</v>
      </c>
    </row>
    <row r="14" spans="1:14" ht="17.25" customHeight="1">
      <c r="A14" s="25"/>
      <c r="B14" s="4"/>
      <c r="C14" s="20" t="s">
        <v>970</v>
      </c>
      <c r="D14" s="14">
        <v>7800</v>
      </c>
      <c r="E14" s="14">
        <v>7800</v>
      </c>
      <c r="F14" s="15">
        <f t="shared" si="0"/>
        <v>0</v>
      </c>
      <c r="G14" s="16">
        <f>F14*100/D14</f>
        <v>0</v>
      </c>
      <c r="H14" s="17"/>
      <c r="I14" s="17"/>
      <c r="J14" s="54" t="s">
        <v>960</v>
      </c>
      <c r="K14" s="14">
        <v>15387</v>
      </c>
      <c r="L14" s="14">
        <v>11804</v>
      </c>
      <c r="M14" s="15">
        <f>L14-K14</f>
        <v>-3583</v>
      </c>
      <c r="N14" s="19">
        <f t="shared" si="3"/>
        <v>-23.285890686943524</v>
      </c>
    </row>
    <row r="15" spans="1:14" ht="18" customHeight="1">
      <c r="A15" s="499" t="s">
        <v>1082</v>
      </c>
      <c r="B15" s="13" t="s">
        <v>303</v>
      </c>
      <c r="C15" s="13"/>
      <c r="D15" s="14">
        <f>D16+D25+D39</f>
        <v>424461</v>
      </c>
      <c r="E15" s="14">
        <f>E16+E25+E40</f>
        <v>434801</v>
      </c>
      <c r="F15" s="15">
        <f>E15-D15</f>
        <v>10340</v>
      </c>
      <c r="G15" s="16">
        <f>F15*100/D15</f>
        <v>2.4360306365013513</v>
      </c>
      <c r="H15" s="17"/>
      <c r="I15" s="17"/>
      <c r="J15" s="54" t="s">
        <v>961</v>
      </c>
      <c r="K15" s="14">
        <v>7560</v>
      </c>
      <c r="L15" s="14">
        <v>8280</v>
      </c>
      <c r="M15" s="21">
        <v>7200</v>
      </c>
      <c r="N15" s="24">
        <f t="shared" si="3"/>
        <v>95.23809523809524</v>
      </c>
    </row>
    <row r="16" spans="1:14" ht="17.25" customHeight="1">
      <c r="A16" s="11"/>
      <c r="B16" s="29" t="s">
        <v>305</v>
      </c>
      <c r="C16" s="13" t="s">
        <v>306</v>
      </c>
      <c r="D16" s="14">
        <f>SUM(D17:D24)</f>
        <v>291639</v>
      </c>
      <c r="E16" s="14">
        <f>SUM(E17:E24)</f>
        <v>292539</v>
      </c>
      <c r="F16" s="21">
        <f>E16-D16</f>
        <v>900</v>
      </c>
      <c r="G16" s="22">
        <f>F16*100/D16</f>
        <v>0.30860070155226155</v>
      </c>
      <c r="H16" s="17"/>
      <c r="I16" s="17"/>
      <c r="J16" s="54" t="s">
        <v>962</v>
      </c>
      <c r="K16" s="14">
        <v>7200</v>
      </c>
      <c r="L16" s="14">
        <v>8100</v>
      </c>
      <c r="M16" s="15">
        <f aca="true" t="shared" si="4" ref="M16:M24">L16-K16</f>
        <v>900</v>
      </c>
      <c r="N16" s="19">
        <f t="shared" si="3"/>
        <v>12.5</v>
      </c>
    </row>
    <row r="17" spans="1:14" ht="16.5" customHeight="1">
      <c r="A17" s="11"/>
      <c r="B17" s="17"/>
      <c r="C17" s="30" t="s">
        <v>308</v>
      </c>
      <c r="D17" s="14">
        <v>179390</v>
      </c>
      <c r="E17" s="14">
        <v>180538</v>
      </c>
      <c r="F17" s="21">
        <f>E17-D17</f>
        <v>1148</v>
      </c>
      <c r="G17" s="22">
        <v>0</v>
      </c>
      <c r="H17" s="17"/>
      <c r="I17" s="18" t="s">
        <v>311</v>
      </c>
      <c r="J17" s="13" t="s">
        <v>306</v>
      </c>
      <c r="K17" s="14">
        <f>SUM(K18:K24)</f>
        <v>20870</v>
      </c>
      <c r="L17" s="14">
        <f>SUM(L18:L24)</f>
        <v>20526</v>
      </c>
      <c r="M17" s="15">
        <f t="shared" si="4"/>
        <v>-344</v>
      </c>
      <c r="N17" s="19">
        <f t="shared" si="3"/>
        <v>-1.6482989937709631</v>
      </c>
    </row>
    <row r="18" spans="1:14" ht="17.25" customHeight="1">
      <c r="A18" s="11"/>
      <c r="B18" s="17"/>
      <c r="C18" s="30" t="s">
        <v>310</v>
      </c>
      <c r="D18" s="14">
        <v>19670</v>
      </c>
      <c r="E18" s="14">
        <v>19326</v>
      </c>
      <c r="F18" s="15">
        <f aca="true" t="shared" si="5" ref="F18:F29">E18-D18</f>
        <v>-344</v>
      </c>
      <c r="G18" s="22">
        <v>0</v>
      </c>
      <c r="H18" s="17"/>
      <c r="I18" s="23" t="s">
        <v>959</v>
      </c>
      <c r="J18" s="14" t="s">
        <v>313</v>
      </c>
      <c r="K18" s="14">
        <v>8448</v>
      </c>
      <c r="L18" s="14">
        <v>8448</v>
      </c>
      <c r="M18" s="15">
        <f t="shared" si="4"/>
        <v>0</v>
      </c>
      <c r="N18" s="19">
        <f t="shared" si="3"/>
        <v>0</v>
      </c>
    </row>
    <row r="19" spans="1:14" ht="15" customHeight="1">
      <c r="A19" s="11"/>
      <c r="B19" s="17"/>
      <c r="C19" s="30" t="s">
        <v>312</v>
      </c>
      <c r="D19" s="14">
        <v>29368</v>
      </c>
      <c r="E19" s="14">
        <v>28097</v>
      </c>
      <c r="F19" s="15">
        <f t="shared" si="5"/>
        <v>-1271</v>
      </c>
      <c r="G19" s="22">
        <v>0</v>
      </c>
      <c r="H19" s="17"/>
      <c r="I19" s="17"/>
      <c r="J19" s="14" t="s">
        <v>315</v>
      </c>
      <c r="K19" s="14">
        <v>3766</v>
      </c>
      <c r="L19" s="14">
        <v>3766</v>
      </c>
      <c r="M19" s="21">
        <f t="shared" si="4"/>
        <v>0</v>
      </c>
      <c r="N19" s="24">
        <f t="shared" si="3"/>
        <v>0</v>
      </c>
    </row>
    <row r="20" spans="1:14" ht="17.25" customHeight="1">
      <c r="A20" s="11"/>
      <c r="B20" s="17"/>
      <c r="C20" s="20" t="s">
        <v>314</v>
      </c>
      <c r="D20" s="14">
        <v>9600</v>
      </c>
      <c r="E20" s="14">
        <v>10500</v>
      </c>
      <c r="F20" s="15">
        <f t="shared" si="5"/>
        <v>900</v>
      </c>
      <c r="G20" s="16">
        <f aca="true" t="shared" si="6" ref="G20:G27">F20*100/D20</f>
        <v>9.375</v>
      </c>
      <c r="H20" s="17"/>
      <c r="I20" s="17"/>
      <c r="J20" s="14" t="s">
        <v>317</v>
      </c>
      <c r="K20" s="14">
        <v>3286</v>
      </c>
      <c r="L20" s="14">
        <v>3286</v>
      </c>
      <c r="M20" s="21">
        <f t="shared" si="4"/>
        <v>0</v>
      </c>
      <c r="N20" s="24">
        <f t="shared" si="3"/>
        <v>0</v>
      </c>
    </row>
    <row r="21" spans="1:14" ht="16.5" customHeight="1">
      <c r="A21" s="11"/>
      <c r="B21" s="17"/>
      <c r="C21" s="30" t="s">
        <v>316</v>
      </c>
      <c r="D21" s="14">
        <v>10649</v>
      </c>
      <c r="E21" s="14">
        <v>9501</v>
      </c>
      <c r="F21" s="15">
        <f t="shared" si="5"/>
        <v>-1148</v>
      </c>
      <c r="G21" s="16">
        <f t="shared" si="6"/>
        <v>-10.780354962907316</v>
      </c>
      <c r="H21" s="17"/>
      <c r="I21" s="17"/>
      <c r="J21" s="26" t="s">
        <v>302</v>
      </c>
      <c r="K21" s="14">
        <v>1472</v>
      </c>
      <c r="L21" s="14">
        <v>1472</v>
      </c>
      <c r="M21" s="15">
        <f t="shared" si="4"/>
        <v>0</v>
      </c>
      <c r="N21" s="19">
        <f aca="true" t="shared" si="7" ref="N21:N27">M21*100/K21</f>
        <v>0</v>
      </c>
    </row>
    <row r="22" spans="1:14" ht="16.5" customHeight="1">
      <c r="A22" s="11"/>
      <c r="B22" s="17"/>
      <c r="C22" s="31" t="s">
        <v>318</v>
      </c>
      <c r="D22" s="14">
        <v>2330</v>
      </c>
      <c r="E22" s="14">
        <v>2674</v>
      </c>
      <c r="F22" s="15">
        <f t="shared" si="5"/>
        <v>344</v>
      </c>
      <c r="G22" s="16">
        <f t="shared" si="6"/>
        <v>14.763948497854077</v>
      </c>
      <c r="H22" s="17"/>
      <c r="I22" s="17"/>
      <c r="J22" s="28" t="s">
        <v>304</v>
      </c>
      <c r="K22" s="14">
        <v>1738</v>
      </c>
      <c r="L22" s="14">
        <v>1394</v>
      </c>
      <c r="M22" s="15">
        <f t="shared" si="4"/>
        <v>-344</v>
      </c>
      <c r="N22" s="19">
        <f t="shared" si="7"/>
        <v>-19.792865362485614</v>
      </c>
    </row>
    <row r="23" spans="1:14" ht="17.25" customHeight="1">
      <c r="A23" s="11"/>
      <c r="B23" s="17"/>
      <c r="C23" s="31" t="s">
        <v>319</v>
      </c>
      <c r="D23" s="14">
        <v>632</v>
      </c>
      <c r="E23" s="14">
        <v>1903</v>
      </c>
      <c r="F23" s="15">
        <f t="shared" si="5"/>
        <v>1271</v>
      </c>
      <c r="G23" s="16">
        <f t="shared" si="6"/>
        <v>201.10759493670886</v>
      </c>
      <c r="H23" s="17"/>
      <c r="I23" s="17"/>
      <c r="J23" s="28" t="s">
        <v>307</v>
      </c>
      <c r="K23" s="14">
        <v>960</v>
      </c>
      <c r="L23" s="14">
        <v>960</v>
      </c>
      <c r="M23" s="21">
        <f t="shared" si="4"/>
        <v>0</v>
      </c>
      <c r="N23" s="24">
        <f t="shared" si="7"/>
        <v>0</v>
      </c>
    </row>
    <row r="24" spans="1:14" ht="15" customHeight="1">
      <c r="A24" s="11"/>
      <c r="B24" s="4"/>
      <c r="C24" s="31" t="s">
        <v>320</v>
      </c>
      <c r="D24" s="14">
        <v>40000</v>
      </c>
      <c r="E24" s="14">
        <v>40000</v>
      </c>
      <c r="F24" s="21">
        <f t="shared" si="5"/>
        <v>0</v>
      </c>
      <c r="G24" s="22">
        <f t="shared" si="6"/>
        <v>0</v>
      </c>
      <c r="H24" s="17"/>
      <c r="I24" s="4"/>
      <c r="J24" s="34" t="s">
        <v>309</v>
      </c>
      <c r="K24" s="14">
        <v>1200</v>
      </c>
      <c r="L24" s="14">
        <v>1200</v>
      </c>
      <c r="M24" s="21">
        <f t="shared" si="4"/>
        <v>0</v>
      </c>
      <c r="N24" s="24">
        <f t="shared" si="7"/>
        <v>0</v>
      </c>
    </row>
    <row r="25" spans="1:14" ht="17.25" customHeight="1">
      <c r="A25" s="11"/>
      <c r="B25" s="18" t="s">
        <v>321</v>
      </c>
      <c r="C25" s="32" t="s">
        <v>306</v>
      </c>
      <c r="D25" s="14">
        <f>SUM(D26:D38)</f>
        <v>92822</v>
      </c>
      <c r="E25" s="14">
        <f>SUM(E26:E38)</f>
        <v>97262</v>
      </c>
      <c r="F25" s="15">
        <f t="shared" si="5"/>
        <v>4440</v>
      </c>
      <c r="G25" s="16">
        <f t="shared" si="6"/>
        <v>4.783348775074875</v>
      </c>
      <c r="H25" s="33"/>
      <c r="I25" s="23" t="s">
        <v>325</v>
      </c>
      <c r="J25" s="4" t="s">
        <v>306</v>
      </c>
      <c r="K25" s="14">
        <f>SUM(K26:K36)</f>
        <v>30568</v>
      </c>
      <c r="L25" s="5">
        <f>SUM(L26:L36)</f>
        <v>29297</v>
      </c>
      <c r="M25" s="15">
        <f>L25-K25</f>
        <v>-1271</v>
      </c>
      <c r="N25" s="19">
        <f t="shared" si="7"/>
        <v>-4.157942946872547</v>
      </c>
    </row>
    <row r="26" spans="1:14" ht="17.25" customHeight="1">
      <c r="A26" s="11"/>
      <c r="B26" s="23" t="s">
        <v>958</v>
      </c>
      <c r="C26" s="35" t="s">
        <v>322</v>
      </c>
      <c r="D26" s="14">
        <v>20076</v>
      </c>
      <c r="E26" s="14">
        <v>20976</v>
      </c>
      <c r="F26" s="21">
        <f t="shared" si="5"/>
        <v>900</v>
      </c>
      <c r="G26" s="22">
        <f t="shared" si="6"/>
        <v>4.482964734010759</v>
      </c>
      <c r="H26" s="17"/>
      <c r="I26" s="23" t="s">
        <v>959</v>
      </c>
      <c r="J26" s="14" t="s">
        <v>313</v>
      </c>
      <c r="K26" s="14">
        <v>8556</v>
      </c>
      <c r="L26" s="14">
        <v>8556</v>
      </c>
      <c r="M26" s="15">
        <f>L26-K26</f>
        <v>0</v>
      </c>
      <c r="N26" s="19">
        <f t="shared" si="7"/>
        <v>0</v>
      </c>
    </row>
    <row r="27" spans="1:14" ht="17.25" customHeight="1">
      <c r="A27" s="11"/>
      <c r="B27" s="36"/>
      <c r="C27" s="20" t="s">
        <v>323</v>
      </c>
      <c r="D27" s="14">
        <v>18500</v>
      </c>
      <c r="E27" s="14">
        <v>19200</v>
      </c>
      <c r="F27" s="21">
        <f t="shared" si="5"/>
        <v>700</v>
      </c>
      <c r="G27" s="22">
        <f t="shared" si="6"/>
        <v>3.7837837837837838</v>
      </c>
      <c r="H27" s="17"/>
      <c r="I27" s="17"/>
      <c r="J27" s="5" t="s">
        <v>315</v>
      </c>
      <c r="K27" s="5">
        <v>3850</v>
      </c>
      <c r="L27" s="5">
        <v>3850</v>
      </c>
      <c r="M27" s="9">
        <f>L27-K27</f>
        <v>0</v>
      </c>
      <c r="N27" s="46">
        <f t="shared" si="7"/>
        <v>0</v>
      </c>
    </row>
    <row r="28" spans="1:14" ht="15" customHeight="1">
      <c r="A28" s="11"/>
      <c r="B28" s="17"/>
      <c r="C28" s="39" t="s">
        <v>324</v>
      </c>
      <c r="D28" s="14">
        <v>13646</v>
      </c>
      <c r="E28" s="5">
        <v>16486</v>
      </c>
      <c r="F28" s="15">
        <f t="shared" si="5"/>
        <v>2840</v>
      </c>
      <c r="G28" s="40">
        <v>0</v>
      </c>
      <c r="H28" s="17"/>
      <c r="I28" s="17"/>
      <c r="J28" s="5" t="s">
        <v>337</v>
      </c>
      <c r="K28" s="5">
        <v>7920</v>
      </c>
      <c r="L28" s="5">
        <v>7260</v>
      </c>
      <c r="M28" s="15">
        <f>L28-K28</f>
        <v>-660</v>
      </c>
      <c r="N28" s="24">
        <v>0</v>
      </c>
    </row>
    <row r="29" spans="1:14" ht="16.5" customHeight="1" thickBot="1">
      <c r="A29" s="41"/>
      <c r="B29" s="42"/>
      <c r="C29" s="43" t="s">
        <v>326</v>
      </c>
      <c r="D29" s="37">
        <v>600</v>
      </c>
      <c r="E29" s="37">
        <v>600</v>
      </c>
      <c r="F29" s="44">
        <f t="shared" si="5"/>
        <v>0</v>
      </c>
      <c r="G29" s="45">
        <v>0</v>
      </c>
      <c r="H29" s="42"/>
      <c r="I29" s="42"/>
      <c r="J29" s="37" t="s">
        <v>317</v>
      </c>
      <c r="K29" s="37">
        <v>3381</v>
      </c>
      <c r="L29" s="37">
        <v>3381</v>
      </c>
      <c r="M29" s="44">
        <f>L29-K29</f>
        <v>0</v>
      </c>
      <c r="N29" s="78">
        <f>M29*100/K29</f>
        <v>0</v>
      </c>
    </row>
    <row r="30" spans="1:14" ht="24" customHeight="1">
      <c r="A30" s="566" t="s">
        <v>327</v>
      </c>
      <c r="B30" s="567"/>
      <c r="C30" s="567"/>
      <c r="D30" s="567"/>
      <c r="E30" s="567"/>
      <c r="F30" s="567"/>
      <c r="G30" s="567"/>
      <c r="H30" s="567" t="s">
        <v>328</v>
      </c>
      <c r="I30" s="567"/>
      <c r="J30" s="567"/>
      <c r="K30" s="567"/>
      <c r="L30" s="567"/>
      <c r="M30" s="567"/>
      <c r="N30" s="568"/>
    </row>
    <row r="31" spans="1:14" ht="13.5">
      <c r="A31" s="569" t="s">
        <v>329</v>
      </c>
      <c r="B31" s="553" t="s">
        <v>330</v>
      </c>
      <c r="C31" s="571" t="s">
        <v>331</v>
      </c>
      <c r="D31" s="571" t="s">
        <v>1073</v>
      </c>
      <c r="E31" s="571" t="s">
        <v>1074</v>
      </c>
      <c r="F31" s="571" t="s">
        <v>332</v>
      </c>
      <c r="G31" s="571"/>
      <c r="H31" s="571" t="s">
        <v>329</v>
      </c>
      <c r="I31" s="571" t="s">
        <v>330</v>
      </c>
      <c r="J31" s="571" t="s">
        <v>331</v>
      </c>
      <c r="K31" s="571" t="s">
        <v>1073</v>
      </c>
      <c r="L31" s="571" t="s">
        <v>1074</v>
      </c>
      <c r="M31" s="571" t="s">
        <v>332</v>
      </c>
      <c r="N31" s="573"/>
    </row>
    <row r="32" spans="1:14" ht="14.25" thickBot="1">
      <c r="A32" s="570"/>
      <c r="B32" s="554"/>
      <c r="C32" s="572"/>
      <c r="D32" s="572"/>
      <c r="E32" s="572"/>
      <c r="F32" s="501" t="s">
        <v>333</v>
      </c>
      <c r="G32" s="501" t="s">
        <v>334</v>
      </c>
      <c r="H32" s="572"/>
      <c r="I32" s="572"/>
      <c r="J32" s="572"/>
      <c r="K32" s="572"/>
      <c r="L32" s="572"/>
      <c r="M32" s="501" t="s">
        <v>333</v>
      </c>
      <c r="N32" s="502" t="s">
        <v>334</v>
      </c>
    </row>
    <row r="33" spans="1:14" ht="22.5" customHeight="1">
      <c r="A33" s="508" t="s">
        <v>1082</v>
      </c>
      <c r="B33" s="23" t="s">
        <v>321</v>
      </c>
      <c r="C33" s="39" t="s">
        <v>335</v>
      </c>
      <c r="D33" s="5">
        <v>25000</v>
      </c>
      <c r="E33" s="5">
        <v>25000</v>
      </c>
      <c r="F33" s="6">
        <f aca="true" t="shared" si="8" ref="F33:F47">E33-D33</f>
        <v>0</v>
      </c>
      <c r="G33" s="40">
        <v>0</v>
      </c>
      <c r="H33" s="8" t="s">
        <v>295</v>
      </c>
      <c r="I33" s="23" t="s">
        <v>325</v>
      </c>
      <c r="J33" s="509" t="s">
        <v>302</v>
      </c>
      <c r="K33" s="5">
        <v>2156</v>
      </c>
      <c r="L33" s="5">
        <v>2101</v>
      </c>
      <c r="M33" s="6">
        <f aca="true" t="shared" si="9" ref="M33:M45">L33-K33</f>
        <v>-55</v>
      </c>
      <c r="N33" s="10">
        <f aca="true" t="shared" si="10" ref="N33:N45">M33*100/K33</f>
        <v>-2.5510204081632653</v>
      </c>
    </row>
    <row r="34" spans="1:14" ht="22.5" customHeight="1">
      <c r="A34" s="11"/>
      <c r="B34" s="23" t="s">
        <v>958</v>
      </c>
      <c r="C34" s="30" t="s">
        <v>336</v>
      </c>
      <c r="D34" s="14">
        <v>0</v>
      </c>
      <c r="E34" s="14">
        <v>0</v>
      </c>
      <c r="F34" s="15">
        <f t="shared" si="8"/>
        <v>0</v>
      </c>
      <c r="G34" s="22">
        <v>0</v>
      </c>
      <c r="H34" s="17"/>
      <c r="I34" s="23" t="s">
        <v>959</v>
      </c>
      <c r="J34" s="28" t="s">
        <v>304</v>
      </c>
      <c r="K34" s="14">
        <v>2545</v>
      </c>
      <c r="L34" s="14">
        <v>1989</v>
      </c>
      <c r="M34" s="15">
        <f>L34-K34</f>
        <v>-556</v>
      </c>
      <c r="N34" s="19">
        <f t="shared" si="10"/>
        <v>-21.846758349705304</v>
      </c>
    </row>
    <row r="35" spans="1:14" ht="22.5" customHeight="1">
      <c r="A35" s="11"/>
      <c r="B35" s="17"/>
      <c r="C35" s="30" t="s">
        <v>338</v>
      </c>
      <c r="D35" s="14">
        <v>0</v>
      </c>
      <c r="E35" s="14">
        <v>0</v>
      </c>
      <c r="F35" s="15">
        <f t="shared" si="8"/>
        <v>0</v>
      </c>
      <c r="G35" s="22"/>
      <c r="H35" s="17"/>
      <c r="I35" s="17"/>
      <c r="J35" s="28" t="s">
        <v>307</v>
      </c>
      <c r="K35" s="14">
        <v>960</v>
      </c>
      <c r="L35" s="14">
        <v>960</v>
      </c>
      <c r="M35" s="21">
        <f t="shared" si="9"/>
        <v>0</v>
      </c>
      <c r="N35" s="24">
        <f t="shared" si="10"/>
        <v>0</v>
      </c>
    </row>
    <row r="36" spans="1:14" ht="22.5" customHeight="1">
      <c r="A36" s="11"/>
      <c r="B36" s="17"/>
      <c r="C36" s="30" t="s">
        <v>339</v>
      </c>
      <c r="D36" s="14">
        <v>4000</v>
      </c>
      <c r="E36" s="14">
        <v>0</v>
      </c>
      <c r="F36" s="15">
        <f t="shared" si="8"/>
        <v>-4000</v>
      </c>
      <c r="G36" s="22"/>
      <c r="H36" s="17"/>
      <c r="I36" s="17"/>
      <c r="J36" s="20" t="s">
        <v>270</v>
      </c>
      <c r="K36" s="14">
        <v>1200</v>
      </c>
      <c r="L36" s="14">
        <v>1200</v>
      </c>
      <c r="M36" s="15">
        <f t="shared" si="9"/>
        <v>0</v>
      </c>
      <c r="N36" s="19">
        <f t="shared" si="10"/>
        <v>0</v>
      </c>
    </row>
    <row r="37" spans="1:14" ht="22.5" customHeight="1">
      <c r="A37" s="11"/>
      <c r="B37" s="17"/>
      <c r="C37" s="30" t="s">
        <v>340</v>
      </c>
      <c r="D37" s="14">
        <v>0</v>
      </c>
      <c r="E37" s="14">
        <v>4000</v>
      </c>
      <c r="F37" s="15">
        <f t="shared" si="8"/>
        <v>4000</v>
      </c>
      <c r="G37" s="22"/>
      <c r="H37" s="17"/>
      <c r="I37" s="12" t="s">
        <v>32</v>
      </c>
      <c r="J37" s="13" t="s">
        <v>13</v>
      </c>
      <c r="K37" s="14">
        <f>K38+K39+K40</f>
        <v>7800</v>
      </c>
      <c r="L37" s="14">
        <f>L38+L39+L40</f>
        <v>7800</v>
      </c>
      <c r="M37" s="15">
        <f t="shared" si="9"/>
        <v>0</v>
      </c>
      <c r="N37" s="19">
        <f t="shared" si="10"/>
        <v>0</v>
      </c>
    </row>
    <row r="38" spans="1:14" ht="22.5" customHeight="1">
      <c r="A38" s="11"/>
      <c r="B38" s="4"/>
      <c r="C38" s="26" t="s">
        <v>974</v>
      </c>
      <c r="D38" s="14">
        <v>11000</v>
      </c>
      <c r="E38" s="14">
        <v>11000</v>
      </c>
      <c r="F38" s="21">
        <f t="shared" si="8"/>
        <v>0</v>
      </c>
      <c r="G38" s="22"/>
      <c r="H38" s="17"/>
      <c r="I38" s="17"/>
      <c r="J38" s="14" t="s">
        <v>33</v>
      </c>
      <c r="K38" s="14">
        <v>2400</v>
      </c>
      <c r="L38" s="14">
        <v>2400</v>
      </c>
      <c r="M38" s="21">
        <f t="shared" si="9"/>
        <v>0</v>
      </c>
      <c r="N38" s="24">
        <f t="shared" si="10"/>
        <v>0</v>
      </c>
    </row>
    <row r="39" spans="1:14" ht="22.5" customHeight="1">
      <c r="A39" s="11"/>
      <c r="B39" s="34" t="s">
        <v>341</v>
      </c>
      <c r="C39" s="13" t="s">
        <v>306</v>
      </c>
      <c r="D39" s="14">
        <f>SUM(D40)</f>
        <v>40000</v>
      </c>
      <c r="E39" s="14">
        <v>45000</v>
      </c>
      <c r="F39" s="15">
        <f t="shared" si="8"/>
        <v>5000</v>
      </c>
      <c r="G39" s="16">
        <f>F39*100/D39</f>
        <v>12.5</v>
      </c>
      <c r="H39" s="17"/>
      <c r="I39" s="17"/>
      <c r="J39" s="14" t="s">
        <v>34</v>
      </c>
      <c r="K39" s="14">
        <v>3600</v>
      </c>
      <c r="L39" s="14">
        <v>3600</v>
      </c>
      <c r="M39" s="21">
        <f t="shared" si="9"/>
        <v>0</v>
      </c>
      <c r="N39" s="24">
        <f t="shared" si="10"/>
        <v>0</v>
      </c>
    </row>
    <row r="40" spans="1:14" ht="22.5" customHeight="1">
      <c r="A40" s="25"/>
      <c r="B40" s="47"/>
      <c r="C40" s="28" t="s">
        <v>975</v>
      </c>
      <c r="D40" s="14">
        <v>40000</v>
      </c>
      <c r="E40" s="14">
        <v>45000</v>
      </c>
      <c r="F40" s="15">
        <f t="shared" si="8"/>
        <v>5000</v>
      </c>
      <c r="G40" s="16">
        <f>F40*100/D40</f>
        <v>12.5</v>
      </c>
      <c r="H40" s="17"/>
      <c r="I40" s="4"/>
      <c r="J40" s="14" t="s">
        <v>35</v>
      </c>
      <c r="K40" s="14">
        <v>1800</v>
      </c>
      <c r="L40" s="14">
        <v>1800</v>
      </c>
      <c r="M40" s="15">
        <f t="shared" si="9"/>
        <v>0</v>
      </c>
      <c r="N40" s="19">
        <f t="shared" si="10"/>
        <v>0</v>
      </c>
    </row>
    <row r="41" spans="1:14" ht="21.75" customHeight="1">
      <c r="A41" s="48" t="s">
        <v>247</v>
      </c>
      <c r="B41" s="49" t="s">
        <v>11</v>
      </c>
      <c r="C41" s="32"/>
      <c r="D41" s="14">
        <f>D42</f>
        <v>0</v>
      </c>
      <c r="E41" s="14">
        <f>E42</f>
        <v>0</v>
      </c>
      <c r="F41" s="15">
        <f t="shared" si="8"/>
        <v>0</v>
      </c>
      <c r="G41" s="16">
        <v>0</v>
      </c>
      <c r="H41" s="17"/>
      <c r="I41" s="53" t="s">
        <v>265</v>
      </c>
      <c r="J41" s="13" t="s">
        <v>13</v>
      </c>
      <c r="K41" s="14">
        <f>SUM(K42:K46)</f>
        <v>48500</v>
      </c>
      <c r="L41" s="14">
        <f>SUM(L42:L46)</f>
        <v>48500</v>
      </c>
      <c r="M41" s="15">
        <f t="shared" si="9"/>
        <v>0</v>
      </c>
      <c r="N41" s="19">
        <f t="shared" si="10"/>
        <v>0</v>
      </c>
    </row>
    <row r="42" spans="1:14" ht="21.75" customHeight="1">
      <c r="A42" s="50"/>
      <c r="B42" s="28" t="s">
        <v>248</v>
      </c>
      <c r="C42" s="14" t="s">
        <v>342</v>
      </c>
      <c r="D42" s="14">
        <v>0</v>
      </c>
      <c r="E42" s="14">
        <v>0</v>
      </c>
      <c r="F42" s="15">
        <f t="shared" si="8"/>
        <v>0</v>
      </c>
      <c r="G42" s="16">
        <v>0</v>
      </c>
      <c r="H42" s="17"/>
      <c r="I42" s="17"/>
      <c r="J42" s="14" t="s">
        <v>17</v>
      </c>
      <c r="K42" s="14">
        <v>1000</v>
      </c>
      <c r="L42" s="14">
        <v>1000</v>
      </c>
      <c r="M42" s="21">
        <f t="shared" si="9"/>
        <v>0</v>
      </c>
      <c r="N42" s="24">
        <f t="shared" si="10"/>
        <v>0</v>
      </c>
    </row>
    <row r="43" spans="1:14" ht="21.75" customHeight="1">
      <c r="A43" s="51" t="s">
        <v>36</v>
      </c>
      <c r="B43" s="49" t="s">
        <v>11</v>
      </c>
      <c r="C43" s="32"/>
      <c r="D43" s="14">
        <f>D44</f>
        <v>20000</v>
      </c>
      <c r="E43" s="14">
        <f>E44</f>
        <v>20000</v>
      </c>
      <c r="F43" s="15">
        <f t="shared" si="8"/>
        <v>0</v>
      </c>
      <c r="G43" s="16">
        <f>F43*100/D43</f>
        <v>0</v>
      </c>
      <c r="H43" s="17"/>
      <c r="I43" s="17"/>
      <c r="J43" s="54" t="s">
        <v>344</v>
      </c>
      <c r="K43" s="14">
        <v>15136</v>
      </c>
      <c r="L43" s="14">
        <v>15136</v>
      </c>
      <c r="M43" s="21">
        <f t="shared" si="9"/>
        <v>0</v>
      </c>
      <c r="N43" s="24">
        <f t="shared" si="10"/>
        <v>0</v>
      </c>
    </row>
    <row r="44" spans="1:14" ht="21.75" customHeight="1">
      <c r="A44" s="52"/>
      <c r="B44" s="28" t="s">
        <v>37</v>
      </c>
      <c r="C44" s="14" t="s">
        <v>343</v>
      </c>
      <c r="D44" s="14">
        <v>20000</v>
      </c>
      <c r="E44" s="14">
        <v>20000</v>
      </c>
      <c r="F44" s="15">
        <f t="shared" si="8"/>
        <v>0</v>
      </c>
      <c r="G44" s="16">
        <f>F44*100/D44</f>
        <v>0</v>
      </c>
      <c r="H44" s="17"/>
      <c r="I44" s="17"/>
      <c r="J44" s="14" t="s">
        <v>346</v>
      </c>
      <c r="K44" s="14">
        <v>14530</v>
      </c>
      <c r="L44" s="14">
        <v>14530</v>
      </c>
      <c r="M44" s="15">
        <f t="shared" si="9"/>
        <v>0</v>
      </c>
      <c r="N44" s="19">
        <f t="shared" si="10"/>
        <v>0</v>
      </c>
    </row>
    <row r="45" spans="1:14" ht="21.75" customHeight="1">
      <c r="A45" s="51" t="s">
        <v>15</v>
      </c>
      <c r="B45" s="49" t="s">
        <v>11</v>
      </c>
      <c r="C45" s="32"/>
      <c r="D45" s="14">
        <f>D46</f>
        <v>2000</v>
      </c>
      <c r="E45" s="14">
        <f>E46</f>
        <v>1265</v>
      </c>
      <c r="F45" s="15">
        <f t="shared" si="8"/>
        <v>-735</v>
      </c>
      <c r="G45" s="16">
        <f>F45*100/D45</f>
        <v>-36.75</v>
      </c>
      <c r="H45" s="17"/>
      <c r="I45" s="17"/>
      <c r="J45" s="14" t="s">
        <v>348</v>
      </c>
      <c r="K45" s="14">
        <v>5534</v>
      </c>
      <c r="L45" s="14">
        <v>5534</v>
      </c>
      <c r="M45" s="21">
        <f t="shared" si="9"/>
        <v>0</v>
      </c>
      <c r="N45" s="24">
        <f t="shared" si="10"/>
        <v>0</v>
      </c>
    </row>
    <row r="46" spans="1:14" ht="21.75" customHeight="1">
      <c r="A46" s="11"/>
      <c r="B46" s="29" t="s">
        <v>16</v>
      </c>
      <c r="C46" s="13" t="s">
        <v>13</v>
      </c>
      <c r="D46" s="14">
        <f>SUM(D47:D49)</f>
        <v>2000</v>
      </c>
      <c r="E46" s="14">
        <f>SUM(E47:E49)</f>
        <v>1265</v>
      </c>
      <c r="F46" s="15">
        <f t="shared" si="8"/>
        <v>-735</v>
      </c>
      <c r="G46" s="16">
        <f>F46*100/D46</f>
        <v>-36.75</v>
      </c>
      <c r="H46" s="17"/>
      <c r="I46" s="4"/>
      <c r="J46" s="28" t="s">
        <v>350</v>
      </c>
      <c r="K46" s="14">
        <v>12300</v>
      </c>
      <c r="L46" s="14">
        <v>12300</v>
      </c>
      <c r="M46" s="15">
        <f aca="true" t="shared" si="11" ref="M46:M53">L46-K46</f>
        <v>0</v>
      </c>
      <c r="N46" s="19">
        <f>M46*100/K46</f>
        <v>0</v>
      </c>
    </row>
    <row r="47" spans="1:14" ht="21.75" customHeight="1">
      <c r="A47" s="11"/>
      <c r="B47" s="17"/>
      <c r="C47" s="14" t="s">
        <v>345</v>
      </c>
      <c r="D47" s="14">
        <v>2000</v>
      </c>
      <c r="E47" s="14">
        <v>1265</v>
      </c>
      <c r="F47" s="15">
        <f t="shared" si="8"/>
        <v>-735</v>
      </c>
      <c r="G47" s="16">
        <f>F47*100/D47</f>
        <v>-36.75</v>
      </c>
      <c r="H47" s="17"/>
      <c r="I47" s="430" t="s">
        <v>971</v>
      </c>
      <c r="J47" s="58" t="s">
        <v>353</v>
      </c>
      <c r="K47" s="14">
        <v>0</v>
      </c>
      <c r="L47" s="14">
        <v>474</v>
      </c>
      <c r="M47" s="15">
        <f t="shared" si="11"/>
        <v>474</v>
      </c>
      <c r="N47" s="19">
        <v>0</v>
      </c>
    </row>
    <row r="48" spans="1:14" ht="21.75" customHeight="1">
      <c r="A48" s="11"/>
      <c r="B48" s="17"/>
      <c r="C48" s="20" t="s">
        <v>347</v>
      </c>
      <c r="D48" s="14">
        <v>0</v>
      </c>
      <c r="E48" s="14">
        <v>0</v>
      </c>
      <c r="F48" s="15">
        <f aca="true" t="shared" si="12" ref="F48:F53">E48-D48</f>
        <v>0</v>
      </c>
      <c r="G48" s="16">
        <v>0</v>
      </c>
      <c r="H48" s="17"/>
      <c r="I48" s="57" t="s">
        <v>972</v>
      </c>
      <c r="J48" s="58" t="s">
        <v>353</v>
      </c>
      <c r="K48" s="14">
        <v>1537</v>
      </c>
      <c r="L48" s="14">
        <v>1537</v>
      </c>
      <c r="M48" s="15">
        <f t="shared" si="11"/>
        <v>0</v>
      </c>
      <c r="N48" s="19">
        <f>M48*100/K48</f>
        <v>0</v>
      </c>
    </row>
    <row r="49" spans="1:14" ht="21.75" customHeight="1">
      <c r="A49" s="25"/>
      <c r="B49" s="4"/>
      <c r="C49" s="20" t="s">
        <v>349</v>
      </c>
      <c r="D49" s="14">
        <v>0</v>
      </c>
      <c r="E49" s="14">
        <v>0</v>
      </c>
      <c r="F49" s="15">
        <f t="shared" si="12"/>
        <v>0</v>
      </c>
      <c r="G49" s="22">
        <v>0</v>
      </c>
      <c r="H49" s="29" t="s">
        <v>355</v>
      </c>
      <c r="I49" s="13" t="s">
        <v>352</v>
      </c>
      <c r="J49" s="13"/>
      <c r="K49" s="14">
        <f>K50</f>
        <v>8500</v>
      </c>
      <c r="L49" s="14">
        <f>L50</f>
        <v>8980</v>
      </c>
      <c r="M49" s="15">
        <f t="shared" si="11"/>
        <v>480</v>
      </c>
      <c r="N49" s="19">
        <f>M49*100/K49</f>
        <v>5.647058823529412</v>
      </c>
    </row>
    <row r="50" spans="1:14" ht="19.5" customHeight="1">
      <c r="A50" s="51" t="s">
        <v>351</v>
      </c>
      <c r="B50" s="55" t="s">
        <v>352</v>
      </c>
      <c r="C50" s="56"/>
      <c r="D50" s="14">
        <f>D51</f>
        <v>1140</v>
      </c>
      <c r="E50" s="14">
        <f>E51</f>
        <v>1016</v>
      </c>
      <c r="F50" s="15">
        <f t="shared" si="12"/>
        <v>-124</v>
      </c>
      <c r="G50" s="16">
        <f>F50*100/D50</f>
        <v>-10.87719298245614</v>
      </c>
      <c r="H50" s="17" t="s">
        <v>357</v>
      </c>
      <c r="I50" s="29" t="s">
        <v>358</v>
      </c>
      <c r="J50" s="13" t="s">
        <v>353</v>
      </c>
      <c r="K50" s="14">
        <f>K51+K52+K53</f>
        <v>8500</v>
      </c>
      <c r="L50" s="14">
        <f>L51+L52+L53</f>
        <v>8980</v>
      </c>
      <c r="M50" s="15">
        <f t="shared" si="11"/>
        <v>480</v>
      </c>
      <c r="N50" s="19">
        <f>M50*100/K50</f>
        <v>5.647058823529412</v>
      </c>
    </row>
    <row r="51" spans="1:14" ht="19.5" customHeight="1">
      <c r="A51" s="3"/>
      <c r="B51" s="29" t="s">
        <v>354</v>
      </c>
      <c r="C51" s="13" t="s">
        <v>353</v>
      </c>
      <c r="D51" s="14">
        <f>SUM(D52:D53)</f>
        <v>1140</v>
      </c>
      <c r="E51" s="14">
        <f>SUM(E52:E53)</f>
        <v>1016</v>
      </c>
      <c r="F51" s="15">
        <f t="shared" si="12"/>
        <v>-124</v>
      </c>
      <c r="G51" s="16">
        <f>F51*100/D51</f>
        <v>-10.87719298245614</v>
      </c>
      <c r="H51" s="17"/>
      <c r="I51" s="17"/>
      <c r="J51" s="14" t="s">
        <v>360</v>
      </c>
      <c r="K51" s="14">
        <v>2180</v>
      </c>
      <c r="L51" s="14">
        <v>6680</v>
      </c>
      <c r="M51" s="15">
        <f t="shared" si="11"/>
        <v>4500</v>
      </c>
      <c r="N51" s="19">
        <f>M51*100/K51</f>
        <v>206.42201834862385</v>
      </c>
    </row>
    <row r="52" spans="1:14" ht="19.5" customHeight="1">
      <c r="A52" s="59"/>
      <c r="B52" s="17"/>
      <c r="C52" s="4" t="s">
        <v>356</v>
      </c>
      <c r="D52" s="5">
        <v>140</v>
      </c>
      <c r="E52" s="5">
        <v>16</v>
      </c>
      <c r="F52" s="60">
        <f t="shared" si="12"/>
        <v>-124</v>
      </c>
      <c r="G52" s="61">
        <f>F52*100/D52</f>
        <v>-88.57142857142857</v>
      </c>
      <c r="H52" s="17"/>
      <c r="I52" s="17"/>
      <c r="J52" s="28" t="s">
        <v>361</v>
      </c>
      <c r="K52" s="14">
        <v>5000</v>
      </c>
      <c r="L52" s="14">
        <v>500</v>
      </c>
      <c r="M52" s="15">
        <f t="shared" si="11"/>
        <v>-4500</v>
      </c>
      <c r="N52" s="19">
        <v>0</v>
      </c>
    </row>
    <row r="53" spans="1:14" ht="19.5" customHeight="1" thickBot="1">
      <c r="A53" s="113"/>
      <c r="B53" s="62"/>
      <c r="C53" s="115" t="s">
        <v>359</v>
      </c>
      <c r="D53" s="37">
        <v>1000</v>
      </c>
      <c r="E53" s="37">
        <v>1000</v>
      </c>
      <c r="F53" s="431">
        <f t="shared" si="12"/>
        <v>0</v>
      </c>
      <c r="G53" s="432">
        <f>F53*100/D53</f>
        <v>0</v>
      </c>
      <c r="H53" s="42"/>
      <c r="I53" s="42"/>
      <c r="J53" s="62" t="s">
        <v>362</v>
      </c>
      <c r="K53" s="62">
        <v>1320</v>
      </c>
      <c r="L53" s="62">
        <v>1800</v>
      </c>
      <c r="M53" s="63">
        <f t="shared" si="11"/>
        <v>480</v>
      </c>
      <c r="N53" s="64">
        <f>M53*100/K53</f>
        <v>36.36363636363637</v>
      </c>
    </row>
    <row r="54" spans="1:14" ht="18.75" customHeight="1">
      <c r="A54" s="555" t="s">
        <v>363</v>
      </c>
      <c r="B54" s="556"/>
      <c r="C54" s="556"/>
      <c r="D54" s="556"/>
      <c r="E54" s="556"/>
      <c r="F54" s="556"/>
      <c r="G54" s="557"/>
      <c r="H54" s="567" t="s">
        <v>364</v>
      </c>
      <c r="I54" s="567"/>
      <c r="J54" s="567"/>
      <c r="K54" s="567"/>
      <c r="L54" s="567"/>
      <c r="M54" s="567"/>
      <c r="N54" s="568"/>
    </row>
    <row r="55" spans="1:14" ht="13.5">
      <c r="A55" s="569" t="s">
        <v>365</v>
      </c>
      <c r="B55" s="571" t="s">
        <v>366</v>
      </c>
      <c r="C55" s="571" t="s">
        <v>367</v>
      </c>
      <c r="D55" s="571" t="s">
        <v>1073</v>
      </c>
      <c r="E55" s="571" t="s">
        <v>1074</v>
      </c>
      <c r="F55" s="571" t="s">
        <v>368</v>
      </c>
      <c r="G55" s="571"/>
      <c r="H55" s="571" t="s">
        <v>365</v>
      </c>
      <c r="I55" s="571" t="s">
        <v>366</v>
      </c>
      <c r="J55" s="571" t="s">
        <v>367</v>
      </c>
      <c r="K55" s="571" t="s">
        <v>1073</v>
      </c>
      <c r="L55" s="571" t="s">
        <v>1074</v>
      </c>
      <c r="M55" s="571" t="s">
        <v>368</v>
      </c>
      <c r="N55" s="573"/>
    </row>
    <row r="56" spans="1:14" ht="14.25" thickBot="1">
      <c r="A56" s="570"/>
      <c r="B56" s="572"/>
      <c r="C56" s="572"/>
      <c r="D56" s="572"/>
      <c r="E56" s="572"/>
      <c r="F56" s="501" t="s">
        <v>369</v>
      </c>
      <c r="G56" s="501" t="s">
        <v>370</v>
      </c>
      <c r="H56" s="572"/>
      <c r="I56" s="572"/>
      <c r="J56" s="572"/>
      <c r="K56" s="572"/>
      <c r="L56" s="572"/>
      <c r="M56" s="501" t="s">
        <v>369</v>
      </c>
      <c r="N56" s="502" t="s">
        <v>370</v>
      </c>
    </row>
    <row r="57" spans="1:14" ht="13.5" customHeight="1">
      <c r="A57" s="558"/>
      <c r="B57" s="538"/>
      <c r="C57" s="17"/>
      <c r="D57" s="36"/>
      <c r="E57" s="36"/>
      <c r="F57" s="65"/>
      <c r="G57" s="66"/>
      <c r="H57" s="67" t="s">
        <v>371</v>
      </c>
      <c r="I57" s="546" t="s">
        <v>372</v>
      </c>
      <c r="J57" s="547"/>
      <c r="K57" s="5">
        <f>K58+K60+K66+K67+K72</f>
        <v>159157</v>
      </c>
      <c r="L57" s="5">
        <f>L58+L60+L66+L67+L72</f>
        <v>164748</v>
      </c>
      <c r="M57" s="6">
        <f aca="true" t="shared" si="13" ref="M57:M66">L57-K57</f>
        <v>5591</v>
      </c>
      <c r="N57" s="10">
        <f>M57*100/K57</f>
        <v>3.5128835049667937</v>
      </c>
    </row>
    <row r="58" spans="1:14" ht="13.5" customHeight="1">
      <c r="A58" s="558"/>
      <c r="B58" s="538"/>
      <c r="C58" s="17"/>
      <c r="D58" s="36"/>
      <c r="E58" s="36"/>
      <c r="F58" s="65"/>
      <c r="G58" s="66"/>
      <c r="H58" s="67"/>
      <c r="I58" s="23" t="s">
        <v>373</v>
      </c>
      <c r="J58" s="4" t="s">
        <v>374</v>
      </c>
      <c r="K58" s="14">
        <f>SUM(K59:K59)</f>
        <v>4000</v>
      </c>
      <c r="L58" s="14">
        <f>SUM(L59:L59)</f>
        <v>4000</v>
      </c>
      <c r="M58" s="15">
        <f t="shared" si="13"/>
        <v>0</v>
      </c>
      <c r="N58" s="19">
        <f>M58*100/K58</f>
        <v>0</v>
      </c>
    </row>
    <row r="59" spans="1:14" ht="13.5" customHeight="1">
      <c r="A59" s="558"/>
      <c r="B59" s="538"/>
      <c r="C59" s="17"/>
      <c r="D59" s="36"/>
      <c r="E59" s="36"/>
      <c r="F59" s="65"/>
      <c r="G59" s="66"/>
      <c r="H59" s="67"/>
      <c r="I59" s="17"/>
      <c r="J59" s="68" t="s">
        <v>375</v>
      </c>
      <c r="K59" s="5">
        <v>4000</v>
      </c>
      <c r="L59" s="5">
        <v>4000</v>
      </c>
      <c r="M59" s="15">
        <f t="shared" si="13"/>
        <v>0</v>
      </c>
      <c r="N59" s="19">
        <f>M59*100/K59</f>
        <v>0</v>
      </c>
    </row>
    <row r="60" spans="1:14" ht="13.5" customHeight="1">
      <c r="A60" s="558"/>
      <c r="B60" s="538"/>
      <c r="C60" s="17"/>
      <c r="D60" s="36"/>
      <c r="E60" s="36"/>
      <c r="F60" s="65"/>
      <c r="G60" s="66"/>
      <c r="H60" s="17"/>
      <c r="I60" s="18" t="s">
        <v>376</v>
      </c>
      <c r="J60" s="13" t="s">
        <v>374</v>
      </c>
      <c r="K60" s="14">
        <f>SUM(K61:K65)</f>
        <v>51440</v>
      </c>
      <c r="L60" s="14">
        <f>SUM(L61:L65)</f>
        <v>51920</v>
      </c>
      <c r="M60" s="15">
        <f t="shared" si="13"/>
        <v>480</v>
      </c>
      <c r="N60" s="19">
        <f>M60*100/K60</f>
        <v>0.9331259720062208</v>
      </c>
    </row>
    <row r="61" spans="1:14" ht="13.5" customHeight="1">
      <c r="A61" s="558"/>
      <c r="B61" s="538"/>
      <c r="C61" s="69"/>
      <c r="D61" s="36"/>
      <c r="E61" s="36"/>
      <c r="F61" s="36"/>
      <c r="G61" s="70"/>
      <c r="H61" s="17"/>
      <c r="I61" s="17" t="s">
        <v>377</v>
      </c>
      <c r="J61" s="14" t="s">
        <v>378</v>
      </c>
      <c r="K61" s="14">
        <v>8000</v>
      </c>
      <c r="L61" s="14">
        <v>8000</v>
      </c>
      <c r="M61" s="15">
        <f t="shared" si="13"/>
        <v>0</v>
      </c>
      <c r="N61" s="19">
        <f>M61*100/K61</f>
        <v>0</v>
      </c>
    </row>
    <row r="62" spans="1:14" ht="13.5" customHeight="1">
      <c r="A62" s="558"/>
      <c r="B62" s="538"/>
      <c r="C62" s="69"/>
      <c r="D62" s="36"/>
      <c r="E62" s="36"/>
      <c r="F62" s="36"/>
      <c r="G62" s="70"/>
      <c r="H62" s="17"/>
      <c r="I62" s="17"/>
      <c r="J62" s="389" t="s">
        <v>963</v>
      </c>
      <c r="K62" s="14">
        <v>600</v>
      </c>
      <c r="L62" s="14">
        <v>1000</v>
      </c>
      <c r="M62" s="21">
        <f t="shared" si="13"/>
        <v>400</v>
      </c>
      <c r="N62" s="24">
        <v>0</v>
      </c>
    </row>
    <row r="63" spans="1:14" ht="13.5" customHeight="1">
      <c r="A63" s="558"/>
      <c r="B63" s="538"/>
      <c r="C63" s="69"/>
      <c r="D63" s="36"/>
      <c r="E63" s="36"/>
      <c r="F63" s="36"/>
      <c r="G63" s="71"/>
      <c r="H63" s="17"/>
      <c r="I63" s="17"/>
      <c r="J63" s="389" t="s">
        <v>964</v>
      </c>
      <c r="K63" s="14">
        <v>31660</v>
      </c>
      <c r="L63" s="14">
        <v>31740</v>
      </c>
      <c r="M63" s="15">
        <f t="shared" si="13"/>
        <v>80</v>
      </c>
      <c r="N63" s="19">
        <f>M63*100/K63</f>
        <v>0.2526847757422615</v>
      </c>
    </row>
    <row r="64" spans="1:14" ht="13.5" customHeight="1">
      <c r="A64" s="558"/>
      <c r="B64" s="538"/>
      <c r="C64" s="36"/>
      <c r="D64" s="36"/>
      <c r="E64" s="36"/>
      <c r="F64" s="36"/>
      <c r="G64" s="71"/>
      <c r="H64" s="17"/>
      <c r="I64" s="17"/>
      <c r="J64" s="14" t="s">
        <v>379</v>
      </c>
      <c r="K64" s="14">
        <v>10560</v>
      </c>
      <c r="L64" s="14">
        <v>10560</v>
      </c>
      <c r="M64" s="15">
        <f t="shared" si="13"/>
        <v>0</v>
      </c>
      <c r="N64" s="19">
        <f>M64*100/K64</f>
        <v>0</v>
      </c>
    </row>
    <row r="65" spans="1:14" ht="13.5" customHeight="1">
      <c r="A65" s="558"/>
      <c r="B65" s="538"/>
      <c r="C65" s="36"/>
      <c r="D65" s="36"/>
      <c r="E65" s="36"/>
      <c r="F65" s="36"/>
      <c r="G65" s="71"/>
      <c r="H65" s="17"/>
      <c r="I65" s="4"/>
      <c r="J65" s="14" t="s">
        <v>380</v>
      </c>
      <c r="K65" s="14">
        <v>620</v>
      </c>
      <c r="L65" s="14">
        <v>620</v>
      </c>
      <c r="M65" s="21">
        <f t="shared" si="13"/>
        <v>0</v>
      </c>
      <c r="N65" s="24">
        <f>M65*100/K65</f>
        <v>0</v>
      </c>
    </row>
    <row r="66" spans="1:14" ht="13.5" customHeight="1">
      <c r="A66" s="558"/>
      <c r="B66" s="538"/>
      <c r="C66" s="36"/>
      <c r="D66" s="36"/>
      <c r="E66" s="36"/>
      <c r="F66" s="36"/>
      <c r="G66" s="71"/>
      <c r="H66" s="17"/>
      <c r="I66" s="13" t="s">
        <v>268</v>
      </c>
      <c r="J66" s="389" t="s">
        <v>758</v>
      </c>
      <c r="K66" s="14">
        <v>10000</v>
      </c>
      <c r="L66" s="14">
        <v>10000</v>
      </c>
      <c r="M66" s="15">
        <f t="shared" si="13"/>
        <v>0</v>
      </c>
      <c r="N66" s="19">
        <f>M66*100/K66</f>
        <v>0</v>
      </c>
    </row>
    <row r="67" spans="1:14" ht="13.5" customHeight="1">
      <c r="A67" s="558"/>
      <c r="B67" s="538"/>
      <c r="C67" s="36"/>
      <c r="D67" s="36"/>
      <c r="E67" s="36"/>
      <c r="F67" s="36"/>
      <c r="G67" s="71"/>
      <c r="H67" s="17"/>
      <c r="I67" s="47" t="s">
        <v>381</v>
      </c>
      <c r="J67" s="390" t="s">
        <v>759</v>
      </c>
      <c r="K67" s="14">
        <f>K68+K69+K70</f>
        <v>895</v>
      </c>
      <c r="L67" s="14">
        <f>L68+L69+L70+L71</f>
        <v>1566</v>
      </c>
      <c r="M67" s="15">
        <f aca="true" t="shared" si="14" ref="M67:M78">L67-K67</f>
        <v>671</v>
      </c>
      <c r="N67" s="19">
        <f aca="true" t="shared" si="15" ref="N67:N88">M67*100/K67</f>
        <v>74.97206703910615</v>
      </c>
    </row>
    <row r="68" spans="1:14" ht="13.5" customHeight="1">
      <c r="A68" s="558"/>
      <c r="B68" s="538"/>
      <c r="C68" s="36"/>
      <c r="D68" s="36"/>
      <c r="E68" s="36"/>
      <c r="F68" s="36"/>
      <c r="G68" s="71"/>
      <c r="H68" s="17"/>
      <c r="I68" s="17"/>
      <c r="J68" s="20" t="s">
        <v>382</v>
      </c>
      <c r="K68" s="14">
        <v>475</v>
      </c>
      <c r="L68" s="14">
        <v>685</v>
      </c>
      <c r="M68" s="15">
        <f t="shared" si="14"/>
        <v>210</v>
      </c>
      <c r="N68" s="19">
        <f t="shared" si="15"/>
        <v>44.21052631578947</v>
      </c>
    </row>
    <row r="69" spans="1:14" ht="13.5" customHeight="1">
      <c r="A69" s="558"/>
      <c r="B69" s="538"/>
      <c r="C69" s="36"/>
      <c r="D69" s="36"/>
      <c r="E69" s="36"/>
      <c r="F69" s="36"/>
      <c r="G69" s="71"/>
      <c r="H69" s="17"/>
      <c r="I69" s="17"/>
      <c r="J69" s="14" t="s">
        <v>383</v>
      </c>
      <c r="K69" s="14">
        <v>300</v>
      </c>
      <c r="L69" s="14">
        <v>461</v>
      </c>
      <c r="M69" s="15">
        <f t="shared" si="14"/>
        <v>161</v>
      </c>
      <c r="N69" s="19">
        <f t="shared" si="15"/>
        <v>53.666666666666664</v>
      </c>
    </row>
    <row r="70" spans="1:14" ht="13.5" customHeight="1">
      <c r="A70" s="558"/>
      <c r="B70" s="538"/>
      <c r="C70" s="36"/>
      <c r="D70" s="36"/>
      <c r="E70" s="36"/>
      <c r="F70" s="36"/>
      <c r="G70" s="71"/>
      <c r="H70" s="17"/>
      <c r="I70" s="17"/>
      <c r="J70" s="14" t="s">
        <v>384</v>
      </c>
      <c r="K70" s="14">
        <v>120</v>
      </c>
      <c r="L70" s="14">
        <v>120</v>
      </c>
      <c r="M70" s="15">
        <f>L70-K70</f>
        <v>0</v>
      </c>
      <c r="N70" s="19">
        <f>M70*100/K70</f>
        <v>0</v>
      </c>
    </row>
    <row r="71" spans="1:14" ht="13.5" customHeight="1">
      <c r="A71" s="558"/>
      <c r="B71" s="538"/>
      <c r="C71" s="36"/>
      <c r="D71" s="36"/>
      <c r="E71" s="36"/>
      <c r="F71" s="36"/>
      <c r="G71" s="71"/>
      <c r="H71" s="17"/>
      <c r="I71" s="4"/>
      <c r="J71" s="14" t="s">
        <v>973</v>
      </c>
      <c r="K71" s="14">
        <v>0</v>
      </c>
      <c r="L71" s="14">
        <v>300</v>
      </c>
      <c r="M71" s="15">
        <f t="shared" si="14"/>
        <v>300</v>
      </c>
      <c r="N71" s="19">
        <v>0</v>
      </c>
    </row>
    <row r="72" spans="1:14" ht="13.5" customHeight="1">
      <c r="A72" s="558"/>
      <c r="B72" s="538"/>
      <c r="C72" s="36"/>
      <c r="D72" s="36"/>
      <c r="E72" s="36"/>
      <c r="F72" s="36"/>
      <c r="G72" s="71"/>
      <c r="H72" s="17"/>
      <c r="I72" s="29" t="s">
        <v>385</v>
      </c>
      <c r="J72" s="13" t="s">
        <v>374</v>
      </c>
      <c r="K72" s="14">
        <f>SUM(K73:K82)</f>
        <v>92822</v>
      </c>
      <c r="L72" s="14">
        <f>SUM(L73:L82)</f>
        <v>97262</v>
      </c>
      <c r="M72" s="15">
        <f t="shared" si="14"/>
        <v>4440</v>
      </c>
      <c r="N72" s="19">
        <f t="shared" si="15"/>
        <v>4.783348775074875</v>
      </c>
    </row>
    <row r="73" spans="1:14" ht="13.5" customHeight="1">
      <c r="A73" s="558"/>
      <c r="B73" s="538"/>
      <c r="C73" s="36"/>
      <c r="D73" s="36"/>
      <c r="E73" s="36"/>
      <c r="F73" s="36"/>
      <c r="G73" s="71"/>
      <c r="H73" s="17"/>
      <c r="I73" s="17"/>
      <c r="J73" s="390" t="s">
        <v>965</v>
      </c>
      <c r="K73" s="14">
        <v>25000</v>
      </c>
      <c r="L73" s="14">
        <v>25000</v>
      </c>
      <c r="M73" s="21">
        <f t="shared" si="14"/>
        <v>0</v>
      </c>
      <c r="N73" s="24">
        <f t="shared" si="15"/>
        <v>0</v>
      </c>
    </row>
    <row r="74" spans="1:14" ht="13.5" customHeight="1">
      <c r="A74" s="558"/>
      <c r="B74" s="538"/>
      <c r="C74" s="36"/>
      <c r="D74" s="36"/>
      <c r="E74" s="36"/>
      <c r="F74" s="36"/>
      <c r="G74" s="71"/>
      <c r="H74" s="17"/>
      <c r="I74" s="17"/>
      <c r="J74" s="72" t="s">
        <v>266</v>
      </c>
      <c r="K74" s="14">
        <v>20076</v>
      </c>
      <c r="L74" s="14">
        <v>20976</v>
      </c>
      <c r="M74" s="21">
        <f t="shared" si="14"/>
        <v>900</v>
      </c>
      <c r="N74" s="24">
        <f t="shared" si="15"/>
        <v>4.482964734010759</v>
      </c>
    </row>
    <row r="75" spans="1:14" ht="13.5" customHeight="1">
      <c r="A75" s="558"/>
      <c r="B75" s="538"/>
      <c r="C75" s="36"/>
      <c r="D75" s="36"/>
      <c r="E75" s="36"/>
      <c r="F75" s="36"/>
      <c r="G75" s="71"/>
      <c r="H75" s="17"/>
      <c r="I75" s="17"/>
      <c r="J75" s="73" t="s">
        <v>386</v>
      </c>
      <c r="K75" s="14">
        <v>18500</v>
      </c>
      <c r="L75" s="14">
        <v>19200</v>
      </c>
      <c r="M75" s="21">
        <f t="shared" si="14"/>
        <v>700</v>
      </c>
      <c r="N75" s="24">
        <f t="shared" si="15"/>
        <v>3.7837837837837838</v>
      </c>
    </row>
    <row r="76" spans="1:14" ht="13.5" customHeight="1">
      <c r="A76" s="558"/>
      <c r="B76" s="538"/>
      <c r="C76" s="36"/>
      <c r="D76" s="36"/>
      <c r="E76" s="36"/>
      <c r="F76" s="36"/>
      <c r="G76" s="71"/>
      <c r="H76" s="17"/>
      <c r="I76" s="17"/>
      <c r="J76" s="30" t="s">
        <v>387</v>
      </c>
      <c r="K76" s="14">
        <v>0</v>
      </c>
      <c r="L76" s="14">
        <v>0</v>
      </c>
      <c r="M76" s="15">
        <f t="shared" si="14"/>
        <v>0</v>
      </c>
      <c r="N76" s="19">
        <v>0</v>
      </c>
    </row>
    <row r="77" spans="1:14" ht="13.5" customHeight="1">
      <c r="A77" s="558"/>
      <c r="B77" s="538"/>
      <c r="C77" s="36"/>
      <c r="D77" s="36"/>
      <c r="E77" s="36"/>
      <c r="F77" s="36"/>
      <c r="G77" s="71"/>
      <c r="H77" s="17"/>
      <c r="I77" s="17"/>
      <c r="J77" s="74" t="s">
        <v>388</v>
      </c>
      <c r="K77" s="5">
        <v>0</v>
      </c>
      <c r="L77" s="5">
        <v>0</v>
      </c>
      <c r="M77" s="15">
        <f t="shared" si="14"/>
        <v>0</v>
      </c>
      <c r="N77" s="19">
        <v>0</v>
      </c>
    </row>
    <row r="78" spans="1:14" ht="13.5" customHeight="1">
      <c r="A78" s="558"/>
      <c r="B78" s="538"/>
      <c r="C78" s="36"/>
      <c r="D78" s="36"/>
      <c r="E78" s="36"/>
      <c r="F78" s="36"/>
      <c r="G78" s="71"/>
      <c r="H78" s="538"/>
      <c r="I78" s="538"/>
      <c r="J78" s="73" t="s">
        <v>389</v>
      </c>
      <c r="K78" s="14">
        <v>13646</v>
      </c>
      <c r="L78" s="14">
        <v>16486</v>
      </c>
      <c r="M78" s="15">
        <f t="shared" si="14"/>
        <v>2840</v>
      </c>
      <c r="N78" s="19">
        <f t="shared" si="15"/>
        <v>20.811959548585666</v>
      </c>
    </row>
    <row r="79" spans="1:14" ht="13.5" customHeight="1">
      <c r="A79" s="558"/>
      <c r="B79" s="538"/>
      <c r="C79" s="36"/>
      <c r="D79" s="36"/>
      <c r="E79" s="36"/>
      <c r="F79" s="36"/>
      <c r="G79" s="71"/>
      <c r="H79" s="538"/>
      <c r="I79" s="538"/>
      <c r="J79" s="75" t="s">
        <v>390</v>
      </c>
      <c r="K79" s="14">
        <v>600</v>
      </c>
      <c r="L79" s="14">
        <v>600</v>
      </c>
      <c r="M79" s="21">
        <f aca="true" t="shared" si="16" ref="M79:M88">L79-K79</f>
        <v>0</v>
      </c>
      <c r="N79" s="24">
        <f t="shared" si="15"/>
        <v>0</v>
      </c>
    </row>
    <row r="80" spans="1:14" ht="13.5" customHeight="1">
      <c r="A80" s="558"/>
      <c r="B80" s="538"/>
      <c r="C80" s="36"/>
      <c r="D80" s="36"/>
      <c r="E80" s="36"/>
      <c r="F80" s="36"/>
      <c r="G80" s="71"/>
      <c r="H80" s="538"/>
      <c r="I80" s="538"/>
      <c r="J80" s="73" t="s">
        <v>391</v>
      </c>
      <c r="K80" s="14">
        <v>4000</v>
      </c>
      <c r="L80" s="14">
        <v>4000</v>
      </c>
      <c r="M80" s="21">
        <f t="shared" si="16"/>
        <v>0</v>
      </c>
      <c r="N80" s="24">
        <f t="shared" si="15"/>
        <v>0</v>
      </c>
    </row>
    <row r="81" spans="1:14" ht="13.5" customHeight="1">
      <c r="A81" s="558"/>
      <c r="B81" s="538"/>
      <c r="C81" s="36"/>
      <c r="D81" s="36"/>
      <c r="E81" s="36"/>
      <c r="F81" s="36"/>
      <c r="G81" s="71"/>
      <c r="H81" s="538"/>
      <c r="I81" s="538"/>
      <c r="J81" s="73" t="s">
        <v>392</v>
      </c>
      <c r="K81" s="14">
        <v>0</v>
      </c>
      <c r="L81" s="14">
        <v>0</v>
      </c>
      <c r="M81" s="15">
        <f t="shared" si="16"/>
        <v>0</v>
      </c>
      <c r="N81" s="19">
        <v>0</v>
      </c>
    </row>
    <row r="82" spans="1:14" ht="13.5" customHeight="1">
      <c r="A82" s="558"/>
      <c r="B82" s="538"/>
      <c r="C82" s="36"/>
      <c r="D82" s="36"/>
      <c r="E82" s="36"/>
      <c r="F82" s="36"/>
      <c r="G82" s="71"/>
      <c r="H82" s="564"/>
      <c r="I82" s="564"/>
      <c r="J82" s="73" t="s">
        <v>1075</v>
      </c>
      <c r="K82" s="14">
        <v>11000</v>
      </c>
      <c r="L82" s="14">
        <v>11000</v>
      </c>
      <c r="M82" s="15">
        <f t="shared" si="16"/>
        <v>0</v>
      </c>
      <c r="N82" s="24">
        <v>0</v>
      </c>
    </row>
    <row r="83" spans="1:14" ht="13.5" customHeight="1">
      <c r="A83" s="558"/>
      <c r="B83" s="538"/>
      <c r="C83" s="36"/>
      <c r="D83" s="36"/>
      <c r="E83" s="36"/>
      <c r="F83" s="36"/>
      <c r="G83" s="71"/>
      <c r="H83" s="12" t="s">
        <v>393</v>
      </c>
      <c r="I83" s="562" t="s">
        <v>372</v>
      </c>
      <c r="J83" s="562"/>
      <c r="K83" s="14">
        <f>K84</f>
        <v>0</v>
      </c>
      <c r="L83" s="14">
        <f>L84</f>
        <v>0</v>
      </c>
      <c r="M83" s="15">
        <f t="shared" si="16"/>
        <v>0</v>
      </c>
      <c r="N83" s="19">
        <v>0</v>
      </c>
    </row>
    <row r="84" spans="1:14" ht="13.5" customHeight="1">
      <c r="A84" s="558"/>
      <c r="B84" s="538"/>
      <c r="C84" s="36"/>
      <c r="D84" s="36"/>
      <c r="E84" s="36"/>
      <c r="F84" s="36"/>
      <c r="G84" s="71"/>
      <c r="H84" s="5" t="s">
        <v>394</v>
      </c>
      <c r="I84" s="14" t="s">
        <v>395</v>
      </c>
      <c r="J84" s="14" t="s">
        <v>396</v>
      </c>
      <c r="K84" s="14">
        <v>0</v>
      </c>
      <c r="L84" s="14">
        <v>0</v>
      </c>
      <c r="M84" s="15">
        <f t="shared" si="16"/>
        <v>0</v>
      </c>
      <c r="N84" s="19">
        <v>0</v>
      </c>
    </row>
    <row r="85" spans="1:14" ht="13.5" customHeight="1">
      <c r="A85" s="558"/>
      <c r="B85" s="538"/>
      <c r="C85" s="36"/>
      <c r="D85" s="36"/>
      <c r="E85" s="36"/>
      <c r="F85" s="36"/>
      <c r="G85" s="71"/>
      <c r="H85" s="34" t="s">
        <v>397</v>
      </c>
      <c r="I85" s="562" t="s">
        <v>372</v>
      </c>
      <c r="J85" s="562"/>
      <c r="K85" s="14">
        <v>989</v>
      </c>
      <c r="L85" s="14">
        <v>0</v>
      </c>
      <c r="M85" s="15">
        <f>L85-K85</f>
        <v>-989</v>
      </c>
      <c r="N85" s="24">
        <v>0</v>
      </c>
    </row>
    <row r="86" spans="1:14" ht="13.5" customHeight="1">
      <c r="A86" s="558"/>
      <c r="B86" s="538"/>
      <c r="C86" s="36"/>
      <c r="D86" s="36"/>
      <c r="E86" s="36"/>
      <c r="F86" s="36"/>
      <c r="G86" s="71"/>
      <c r="H86" s="76"/>
      <c r="I86" s="14" t="s">
        <v>398</v>
      </c>
      <c r="J86" s="14" t="s">
        <v>399</v>
      </c>
      <c r="K86" s="14">
        <v>989</v>
      </c>
      <c r="L86" s="14">
        <v>0</v>
      </c>
      <c r="M86" s="15">
        <f>L86-K86</f>
        <v>-989</v>
      </c>
      <c r="N86" s="24">
        <v>0</v>
      </c>
    </row>
    <row r="87" spans="1:14" ht="13.5" customHeight="1">
      <c r="A87" s="558"/>
      <c r="B87" s="538"/>
      <c r="C87" s="36"/>
      <c r="D87" s="36"/>
      <c r="E87" s="36"/>
      <c r="F87" s="36"/>
      <c r="G87" s="71"/>
      <c r="H87" s="12" t="s">
        <v>400</v>
      </c>
      <c r="I87" s="562" t="s">
        <v>372</v>
      </c>
      <c r="J87" s="562"/>
      <c r="K87" s="14">
        <f>K88</f>
        <v>4000</v>
      </c>
      <c r="L87" s="14">
        <f>L88</f>
        <v>8532</v>
      </c>
      <c r="M87" s="15">
        <f t="shared" si="16"/>
        <v>4532</v>
      </c>
      <c r="N87" s="24">
        <f t="shared" si="15"/>
        <v>113.3</v>
      </c>
    </row>
    <row r="88" spans="1:14" ht="13.5" customHeight="1" thickBot="1">
      <c r="A88" s="539"/>
      <c r="B88" s="540"/>
      <c r="C88" s="62"/>
      <c r="D88" s="62"/>
      <c r="E88" s="62"/>
      <c r="F88" s="62"/>
      <c r="G88" s="77"/>
      <c r="H88" s="42"/>
      <c r="I88" s="37" t="s">
        <v>401</v>
      </c>
      <c r="J88" s="37" t="s">
        <v>402</v>
      </c>
      <c r="K88" s="37">
        <v>4000</v>
      </c>
      <c r="L88" s="37">
        <v>8532</v>
      </c>
      <c r="M88" s="38">
        <f t="shared" si="16"/>
        <v>4532</v>
      </c>
      <c r="N88" s="78">
        <f t="shared" si="15"/>
        <v>113.3</v>
      </c>
    </row>
  </sheetData>
  <mergeCells count="60">
    <mergeCell ref="L2:N2"/>
    <mergeCell ref="H6:J6"/>
    <mergeCell ref="I57:J57"/>
    <mergeCell ref="I83:J83"/>
    <mergeCell ref="L55:L56"/>
    <mergeCell ref="M55:N55"/>
    <mergeCell ref="J31:J32"/>
    <mergeCell ref="K31:K32"/>
    <mergeCell ref="L31:L32"/>
    <mergeCell ref="M31:N31"/>
    <mergeCell ref="A78:A88"/>
    <mergeCell ref="B78:B88"/>
    <mergeCell ref="H78:H82"/>
    <mergeCell ref="I78:I82"/>
    <mergeCell ref="I85:J85"/>
    <mergeCell ref="I87:J87"/>
    <mergeCell ref="A57:A77"/>
    <mergeCell ref="B57:B77"/>
    <mergeCell ref="J55:J56"/>
    <mergeCell ref="K55:K56"/>
    <mergeCell ref="I55:I56"/>
    <mergeCell ref="A54:G54"/>
    <mergeCell ref="H54:N54"/>
    <mergeCell ref="A55:A56"/>
    <mergeCell ref="B55:B56"/>
    <mergeCell ref="C55:C56"/>
    <mergeCell ref="D55:D56"/>
    <mergeCell ref="E55:E56"/>
    <mergeCell ref="F55:G55"/>
    <mergeCell ref="H55:H56"/>
    <mergeCell ref="A30:G30"/>
    <mergeCell ref="H30:N30"/>
    <mergeCell ref="A31:A32"/>
    <mergeCell ref="B31:B32"/>
    <mergeCell ref="C31:C32"/>
    <mergeCell ref="D31:D32"/>
    <mergeCell ref="E31:E32"/>
    <mergeCell ref="F31:G31"/>
    <mergeCell ref="H31:H32"/>
    <mergeCell ref="I31:I32"/>
    <mergeCell ref="M4:N4"/>
    <mergeCell ref="A7:C7"/>
    <mergeCell ref="H7:J7"/>
    <mergeCell ref="B8:C8"/>
    <mergeCell ref="I8:J8"/>
    <mergeCell ref="I4:I5"/>
    <mergeCell ref="J4:J5"/>
    <mergeCell ref="K4:K5"/>
    <mergeCell ref="L4:L5"/>
    <mergeCell ref="A6:C6"/>
    <mergeCell ref="A1:N1"/>
    <mergeCell ref="A3:G3"/>
    <mergeCell ref="H3:N3"/>
    <mergeCell ref="A4:A5"/>
    <mergeCell ref="B4:B5"/>
    <mergeCell ref="C4:C5"/>
    <mergeCell ref="D4:D5"/>
    <mergeCell ref="E4:E5"/>
    <mergeCell ref="F4:G4"/>
    <mergeCell ref="H4:H5"/>
  </mergeCells>
  <printOptions/>
  <pageMargins left="0.1968503937007874" right="0.1968503937007874" top="0.5905511811023623" bottom="0.3937007874015748" header="0" footer="0"/>
  <pageSetup horizontalDpi="600" verticalDpi="600" orientation="landscape" paperSize="9" r:id="rId1"/>
  <ignoredErrors>
    <ignoredError sqref="K41:L41 K59:L5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="75" zoomScaleNormal="75" workbookViewId="0" topLeftCell="A1">
      <selection activeCell="F5" sqref="F5:G5"/>
    </sheetView>
  </sheetViews>
  <sheetFormatPr defaultColWidth="8.88671875" defaultRowHeight="13.5"/>
  <cols>
    <col min="1" max="1" width="7.5546875" style="0" customWidth="1"/>
    <col min="2" max="2" width="9.88671875" style="0" customWidth="1"/>
    <col min="3" max="3" width="12.3359375" style="0" customWidth="1"/>
    <col min="4" max="4" width="7.6640625" style="0" customWidth="1"/>
    <col min="5" max="7" width="7.4453125" style="0" customWidth="1"/>
    <col min="8" max="8" width="7.5546875" style="0" customWidth="1"/>
    <col min="9" max="9" width="7.4453125" style="0" customWidth="1"/>
    <col min="10" max="10" width="13.3359375" style="0" customWidth="1"/>
    <col min="12" max="12" width="8.21484375" style="0" customWidth="1"/>
    <col min="13" max="13" width="7.77734375" style="0" customWidth="1"/>
    <col min="14" max="14" width="7.5546875" style="0" customWidth="1"/>
  </cols>
  <sheetData>
    <row r="1" spans="1:14" ht="25.5">
      <c r="A1" s="565" t="s">
        <v>1095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</row>
    <row r="2" spans="1:14" ht="13.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9.5" thickBot="1">
      <c r="A3" s="2" t="s">
        <v>0</v>
      </c>
      <c r="B3" s="2"/>
      <c r="C3" s="2"/>
      <c r="D3" s="2"/>
      <c r="E3" s="2" t="s">
        <v>1</v>
      </c>
      <c r="F3" s="2"/>
      <c r="G3" s="2"/>
      <c r="H3" s="2"/>
      <c r="I3" s="2"/>
      <c r="J3" s="2"/>
      <c r="K3" s="2"/>
      <c r="L3" s="2"/>
      <c r="M3" s="2" t="s">
        <v>403</v>
      </c>
      <c r="N3" s="2"/>
    </row>
    <row r="4" spans="1:14" ht="17.25" customHeight="1">
      <c r="A4" s="566" t="s">
        <v>404</v>
      </c>
      <c r="B4" s="567"/>
      <c r="C4" s="567"/>
      <c r="D4" s="567"/>
      <c r="E4" s="567"/>
      <c r="F4" s="567"/>
      <c r="G4" s="567"/>
      <c r="H4" s="567" t="s">
        <v>405</v>
      </c>
      <c r="I4" s="567"/>
      <c r="J4" s="567"/>
      <c r="K4" s="567"/>
      <c r="L4" s="567"/>
      <c r="M4" s="567"/>
      <c r="N4" s="568"/>
    </row>
    <row r="5" spans="1:14" ht="13.5">
      <c r="A5" s="569" t="s">
        <v>406</v>
      </c>
      <c r="B5" s="571" t="s">
        <v>407</v>
      </c>
      <c r="C5" s="571" t="s">
        <v>408</v>
      </c>
      <c r="D5" s="571" t="s">
        <v>1073</v>
      </c>
      <c r="E5" s="571" t="s">
        <v>1074</v>
      </c>
      <c r="F5" s="571" t="s">
        <v>409</v>
      </c>
      <c r="G5" s="571"/>
      <c r="H5" s="571" t="s">
        <v>406</v>
      </c>
      <c r="I5" s="571" t="s">
        <v>407</v>
      </c>
      <c r="J5" s="571" t="s">
        <v>408</v>
      </c>
      <c r="K5" s="571" t="s">
        <v>1073</v>
      </c>
      <c r="L5" s="571" t="s">
        <v>1074</v>
      </c>
      <c r="M5" s="571" t="s">
        <v>409</v>
      </c>
      <c r="N5" s="573"/>
    </row>
    <row r="6" spans="1:14" ht="13.5" customHeight="1" thickBot="1">
      <c r="A6" s="570"/>
      <c r="B6" s="572"/>
      <c r="C6" s="572"/>
      <c r="D6" s="572"/>
      <c r="E6" s="572"/>
      <c r="F6" s="501" t="s">
        <v>410</v>
      </c>
      <c r="G6" s="501" t="s">
        <v>411</v>
      </c>
      <c r="H6" s="572"/>
      <c r="I6" s="572"/>
      <c r="J6" s="572"/>
      <c r="K6" s="572"/>
      <c r="L6" s="572"/>
      <c r="M6" s="501" t="s">
        <v>410</v>
      </c>
      <c r="N6" s="502" t="s">
        <v>411</v>
      </c>
    </row>
    <row r="7" spans="1:14" ht="13.5">
      <c r="A7" s="548" t="s">
        <v>1088</v>
      </c>
      <c r="B7" s="549"/>
      <c r="C7" s="549"/>
      <c r="D7" s="511">
        <f>D8+D16+D19</f>
        <v>105086</v>
      </c>
      <c r="E7" s="511">
        <f>E8+E16+E19</f>
        <v>108807</v>
      </c>
      <c r="F7" s="512">
        <f>E7-D7</f>
        <v>3721</v>
      </c>
      <c r="G7" s="513">
        <f>F7*100/D7</f>
        <v>3.540909350436785</v>
      </c>
      <c r="H7" s="550" t="s">
        <v>1089</v>
      </c>
      <c r="I7" s="550"/>
      <c r="J7" s="550"/>
      <c r="K7" s="511">
        <f>K8+K24+K36</f>
        <v>105086</v>
      </c>
      <c r="L7" s="511">
        <f>L8+L24+L36</f>
        <v>108807</v>
      </c>
      <c r="M7" s="512">
        <f>L7-K7</f>
        <v>3721</v>
      </c>
      <c r="N7" s="514">
        <f aca="true" t="shared" si="0" ref="N7:N17">M7*100/K7</f>
        <v>3.540909350436785</v>
      </c>
    </row>
    <row r="8" spans="1:14" ht="12.75" customHeight="1">
      <c r="A8" s="80" t="s">
        <v>412</v>
      </c>
      <c r="B8" s="510" t="s">
        <v>413</v>
      </c>
      <c r="C8" s="56"/>
      <c r="D8" s="5">
        <f>D9+D14</f>
        <v>104782</v>
      </c>
      <c r="E8" s="5">
        <f>E9+E14</f>
        <v>108782</v>
      </c>
      <c r="F8" s="81">
        <f>E8-D8</f>
        <v>4000</v>
      </c>
      <c r="G8" s="82">
        <f>F8*100/D8</f>
        <v>3.817449561947663</v>
      </c>
      <c r="H8" s="23" t="s">
        <v>414</v>
      </c>
      <c r="I8" s="546" t="s">
        <v>413</v>
      </c>
      <c r="J8" s="547"/>
      <c r="K8" s="5">
        <f>K9+K17</f>
        <v>58770</v>
      </c>
      <c r="L8" s="5">
        <f>L9+L17</f>
        <v>62609</v>
      </c>
      <c r="M8" s="81">
        <f>L8-K8</f>
        <v>3839</v>
      </c>
      <c r="N8" s="83">
        <f t="shared" si="0"/>
        <v>6.5322443423515395</v>
      </c>
    </row>
    <row r="9" spans="1:14" ht="12.75" customHeight="1">
      <c r="A9" s="84" t="s">
        <v>415</v>
      </c>
      <c r="B9" s="29" t="s">
        <v>416</v>
      </c>
      <c r="C9" s="32" t="s">
        <v>417</v>
      </c>
      <c r="D9" s="14">
        <f>SUM(D10:D12)</f>
        <v>60282</v>
      </c>
      <c r="E9" s="14">
        <f>SUM(E10:E12)</f>
        <v>60282</v>
      </c>
      <c r="F9" s="14">
        <f>E9-D9</f>
        <v>0</v>
      </c>
      <c r="G9" s="85">
        <f>F9*100/D9</f>
        <v>0</v>
      </c>
      <c r="H9" s="17"/>
      <c r="I9" s="18" t="s">
        <v>418</v>
      </c>
      <c r="J9" s="13" t="s">
        <v>417</v>
      </c>
      <c r="K9" s="14">
        <f>SUM(K10:K16)</f>
        <v>55288</v>
      </c>
      <c r="L9" s="14">
        <f>SUM(L10:L16)</f>
        <v>59127</v>
      </c>
      <c r="M9" s="86">
        <f>L9-K9</f>
        <v>3839</v>
      </c>
      <c r="N9" s="87">
        <f t="shared" si="0"/>
        <v>6.943640572999566</v>
      </c>
    </row>
    <row r="10" spans="1:14" ht="12.75" customHeight="1">
      <c r="A10" s="84"/>
      <c r="B10" s="17"/>
      <c r="C10" s="88" t="s">
        <v>281</v>
      </c>
      <c r="D10" s="14">
        <v>52888</v>
      </c>
      <c r="E10" s="14">
        <v>56727</v>
      </c>
      <c r="F10" s="14">
        <f>E10-D10</f>
        <v>3839</v>
      </c>
      <c r="G10" s="85">
        <v>0</v>
      </c>
      <c r="H10" s="17"/>
      <c r="I10" s="17"/>
      <c r="J10" s="14" t="s">
        <v>419</v>
      </c>
      <c r="K10" s="14">
        <v>22110</v>
      </c>
      <c r="L10" s="14">
        <v>23920</v>
      </c>
      <c r="M10" s="86">
        <f aca="true" t="shared" si="1" ref="M10:M23">L10-K10</f>
        <v>1810</v>
      </c>
      <c r="N10" s="87">
        <f t="shared" si="0"/>
        <v>8.186341022161917</v>
      </c>
    </row>
    <row r="11" spans="1:14" ht="12.75" customHeight="1">
      <c r="A11" s="84"/>
      <c r="B11" s="17"/>
      <c r="C11" s="35" t="s">
        <v>420</v>
      </c>
      <c r="D11" s="14">
        <v>2400</v>
      </c>
      <c r="E11" s="14">
        <v>2400</v>
      </c>
      <c r="F11" s="14">
        <f>E11-D11</f>
        <v>0</v>
      </c>
      <c r="G11" s="85">
        <f>F11*100/D11</f>
        <v>0</v>
      </c>
      <c r="H11" s="17"/>
      <c r="I11" s="17"/>
      <c r="J11" s="14" t="s">
        <v>421</v>
      </c>
      <c r="K11" s="14">
        <v>10540</v>
      </c>
      <c r="L11" s="14">
        <v>11514</v>
      </c>
      <c r="M11" s="86">
        <f t="shared" si="1"/>
        <v>974</v>
      </c>
      <c r="N11" s="87">
        <f t="shared" si="0"/>
        <v>9.240986717267551</v>
      </c>
    </row>
    <row r="12" spans="1:14" ht="12.75" customHeight="1">
      <c r="A12" s="84"/>
      <c r="B12" s="36"/>
      <c r="C12" s="89" t="s">
        <v>422</v>
      </c>
      <c r="D12" s="29">
        <v>4994</v>
      </c>
      <c r="E12" s="14">
        <v>1155</v>
      </c>
      <c r="F12" s="86">
        <f aca="true" t="shared" si="2" ref="F12:F22">E12-D12</f>
        <v>-3839</v>
      </c>
      <c r="G12" s="90">
        <f>F12*100/D12</f>
        <v>-76.87224669603525</v>
      </c>
      <c r="H12" s="17"/>
      <c r="I12" s="17"/>
      <c r="J12" s="14" t="s">
        <v>423</v>
      </c>
      <c r="K12" s="14">
        <v>9826</v>
      </c>
      <c r="L12" s="14">
        <v>11119</v>
      </c>
      <c r="M12" s="14">
        <f t="shared" si="1"/>
        <v>1293</v>
      </c>
      <c r="N12" s="91">
        <f t="shared" si="0"/>
        <v>13.158966008548749</v>
      </c>
    </row>
    <row r="13" spans="1:14" ht="12.75" customHeight="1">
      <c r="A13" s="92"/>
      <c r="B13" s="4"/>
      <c r="C13" s="76"/>
      <c r="D13" s="14"/>
      <c r="E13" s="14"/>
      <c r="F13" s="86"/>
      <c r="G13" s="90"/>
      <c r="H13" s="17"/>
      <c r="I13" s="17"/>
      <c r="J13" s="26" t="s">
        <v>424</v>
      </c>
      <c r="K13" s="14">
        <v>3900</v>
      </c>
      <c r="L13" s="14">
        <v>4240</v>
      </c>
      <c r="M13" s="86">
        <f t="shared" si="1"/>
        <v>340</v>
      </c>
      <c r="N13" s="87">
        <f t="shared" si="0"/>
        <v>8.717948717948717</v>
      </c>
    </row>
    <row r="14" spans="1:14" ht="12.75" customHeight="1">
      <c r="A14" s="80"/>
      <c r="B14" s="36" t="s">
        <v>425</v>
      </c>
      <c r="C14" s="13" t="s">
        <v>417</v>
      </c>
      <c r="D14" s="14">
        <f>SUM(D15)</f>
        <v>44500</v>
      </c>
      <c r="E14" s="14">
        <f>SUM(E15)</f>
        <v>48500</v>
      </c>
      <c r="F14" s="86">
        <f t="shared" si="2"/>
        <v>4000</v>
      </c>
      <c r="G14" s="90">
        <f>F14*100/D14</f>
        <v>8.98876404494382</v>
      </c>
      <c r="H14" s="17"/>
      <c r="I14" s="17"/>
      <c r="J14" s="14" t="s">
        <v>426</v>
      </c>
      <c r="K14" s="14">
        <v>4592</v>
      </c>
      <c r="L14" s="14">
        <v>4014</v>
      </c>
      <c r="M14" s="86">
        <f t="shared" si="1"/>
        <v>-578</v>
      </c>
      <c r="N14" s="87">
        <f t="shared" si="0"/>
        <v>-12.587108013937282</v>
      </c>
    </row>
    <row r="15" spans="1:14" ht="12.75" customHeight="1">
      <c r="A15" s="93"/>
      <c r="B15" s="4"/>
      <c r="C15" s="14" t="s">
        <v>427</v>
      </c>
      <c r="D15" s="14">
        <v>44500</v>
      </c>
      <c r="E15" s="14">
        <v>48500</v>
      </c>
      <c r="F15" s="86">
        <f t="shared" si="2"/>
        <v>4000</v>
      </c>
      <c r="G15" s="90">
        <f>F15*100/D15</f>
        <v>8.98876404494382</v>
      </c>
      <c r="H15" s="17"/>
      <c r="I15" s="17"/>
      <c r="J15" s="14" t="s">
        <v>428</v>
      </c>
      <c r="K15" s="14">
        <v>1920</v>
      </c>
      <c r="L15" s="14">
        <v>1920</v>
      </c>
      <c r="M15" s="14">
        <f>L15-K15</f>
        <v>0</v>
      </c>
      <c r="N15" s="91">
        <f t="shared" si="0"/>
        <v>0</v>
      </c>
    </row>
    <row r="16" spans="1:14" ht="12.75" customHeight="1">
      <c r="A16" s="94" t="s">
        <v>429</v>
      </c>
      <c r="B16" s="433" t="s">
        <v>413</v>
      </c>
      <c r="C16" s="32"/>
      <c r="D16" s="14">
        <f>D17</f>
        <v>304</v>
      </c>
      <c r="E16" s="14">
        <f>E17</f>
        <v>25</v>
      </c>
      <c r="F16" s="86">
        <f t="shared" si="2"/>
        <v>-279</v>
      </c>
      <c r="G16" s="90">
        <f>F16*100/D16</f>
        <v>-91.77631578947368</v>
      </c>
      <c r="H16" s="17"/>
      <c r="I16" s="5"/>
      <c r="J16" s="76" t="s">
        <v>264</v>
      </c>
      <c r="K16" s="14">
        <v>2400</v>
      </c>
      <c r="L16" s="14">
        <v>2400</v>
      </c>
      <c r="M16" s="14">
        <f t="shared" si="1"/>
        <v>0</v>
      </c>
      <c r="N16" s="91">
        <f t="shared" si="0"/>
        <v>0</v>
      </c>
    </row>
    <row r="17" spans="1:14" ht="12.75" customHeight="1">
      <c r="A17" s="80"/>
      <c r="B17" s="29" t="s">
        <v>430</v>
      </c>
      <c r="C17" s="13" t="s">
        <v>417</v>
      </c>
      <c r="D17" s="14">
        <f>D18</f>
        <v>304</v>
      </c>
      <c r="E17" s="14">
        <f>E18</f>
        <v>25</v>
      </c>
      <c r="F17" s="86">
        <f t="shared" si="2"/>
        <v>-279</v>
      </c>
      <c r="G17" s="90">
        <f>F17*100/D17</f>
        <v>-91.77631578947368</v>
      </c>
      <c r="H17" s="95"/>
      <c r="I17" s="23" t="s">
        <v>431</v>
      </c>
      <c r="J17" s="13" t="s">
        <v>417</v>
      </c>
      <c r="K17" s="14">
        <f>SUM(K18:K22)</f>
        <v>3482</v>
      </c>
      <c r="L17" s="14">
        <f>SUM(L18:L23)</f>
        <v>3482</v>
      </c>
      <c r="M17" s="86">
        <f t="shared" si="1"/>
        <v>0</v>
      </c>
      <c r="N17" s="87">
        <f t="shared" si="0"/>
        <v>0</v>
      </c>
    </row>
    <row r="18" spans="1:14" ht="12.75" customHeight="1">
      <c r="A18" s="93"/>
      <c r="B18" s="4"/>
      <c r="C18" s="20" t="s">
        <v>260</v>
      </c>
      <c r="D18" s="14">
        <v>304</v>
      </c>
      <c r="E18" s="14">
        <v>25</v>
      </c>
      <c r="F18" s="86">
        <f t="shared" si="2"/>
        <v>-279</v>
      </c>
      <c r="G18" s="90">
        <f>F18*100/D18</f>
        <v>-91.77631578947368</v>
      </c>
      <c r="H18" s="95"/>
      <c r="I18" s="17"/>
      <c r="J18" s="14" t="s">
        <v>432</v>
      </c>
      <c r="K18" s="14">
        <v>200</v>
      </c>
      <c r="L18" s="14">
        <v>200</v>
      </c>
      <c r="M18" s="14">
        <f t="shared" si="1"/>
        <v>0</v>
      </c>
      <c r="N18" s="91">
        <v>0</v>
      </c>
    </row>
    <row r="19" spans="1:14" ht="12.75" customHeight="1">
      <c r="A19" s="94" t="s">
        <v>433</v>
      </c>
      <c r="B19" s="433" t="s">
        <v>413</v>
      </c>
      <c r="C19" s="32"/>
      <c r="D19" s="14">
        <f>D20</f>
        <v>0</v>
      </c>
      <c r="E19" s="14">
        <f>E20</f>
        <v>0</v>
      </c>
      <c r="F19" s="86">
        <f t="shared" si="2"/>
        <v>0</v>
      </c>
      <c r="G19" s="90">
        <v>0</v>
      </c>
      <c r="H19" s="95"/>
      <c r="I19" s="17"/>
      <c r="J19" s="30" t="s">
        <v>271</v>
      </c>
      <c r="K19" s="14">
        <v>702</v>
      </c>
      <c r="L19" s="14">
        <v>702</v>
      </c>
      <c r="M19" s="86">
        <f t="shared" si="1"/>
        <v>0</v>
      </c>
      <c r="N19" s="91">
        <v>0</v>
      </c>
    </row>
    <row r="20" spans="1:14" ht="12.75" customHeight="1">
      <c r="A20" s="80"/>
      <c r="B20" s="29" t="s">
        <v>434</v>
      </c>
      <c r="C20" s="13" t="s">
        <v>417</v>
      </c>
      <c r="D20" s="14">
        <f>SUM(D21:D22)</f>
        <v>0</v>
      </c>
      <c r="E20" s="14">
        <f>SUM(E21:E22)</f>
        <v>0</v>
      </c>
      <c r="F20" s="86">
        <f t="shared" si="2"/>
        <v>0</v>
      </c>
      <c r="G20" s="90">
        <v>0</v>
      </c>
      <c r="H20" s="95"/>
      <c r="I20" s="17"/>
      <c r="J20" s="14" t="s">
        <v>255</v>
      </c>
      <c r="K20" s="14">
        <v>580</v>
      </c>
      <c r="L20" s="14">
        <v>580</v>
      </c>
      <c r="M20" s="14">
        <f t="shared" si="1"/>
        <v>0</v>
      </c>
      <c r="N20" s="91">
        <v>0</v>
      </c>
    </row>
    <row r="21" spans="1:14" ht="12.75" customHeight="1">
      <c r="A21" s="80"/>
      <c r="B21" s="17"/>
      <c r="C21" s="20" t="s">
        <v>435</v>
      </c>
      <c r="D21" s="14">
        <v>0</v>
      </c>
      <c r="E21" s="14">
        <v>0</v>
      </c>
      <c r="F21" s="86">
        <f t="shared" si="2"/>
        <v>0</v>
      </c>
      <c r="G21" s="90">
        <v>0</v>
      </c>
      <c r="H21" s="17"/>
      <c r="I21" s="17"/>
      <c r="J21" s="14" t="s">
        <v>256</v>
      </c>
      <c r="K21" s="14">
        <v>1600</v>
      </c>
      <c r="L21" s="14">
        <v>1600</v>
      </c>
      <c r="M21" s="14">
        <f t="shared" si="1"/>
        <v>0</v>
      </c>
      <c r="N21" s="91">
        <f>M21*100/K21</f>
        <v>0</v>
      </c>
    </row>
    <row r="22" spans="1:14" ht="12.75" customHeight="1">
      <c r="A22" s="80"/>
      <c r="B22" s="17"/>
      <c r="C22" s="20" t="s">
        <v>436</v>
      </c>
      <c r="D22" s="14">
        <v>0</v>
      </c>
      <c r="E22" s="14">
        <v>0</v>
      </c>
      <c r="F22" s="86">
        <f t="shared" si="2"/>
        <v>0</v>
      </c>
      <c r="G22" s="90">
        <v>0</v>
      </c>
      <c r="H22" s="17"/>
      <c r="I22" s="96"/>
      <c r="J22" s="97" t="s">
        <v>437</v>
      </c>
      <c r="K22" s="29">
        <v>400</v>
      </c>
      <c r="L22" s="29">
        <v>400</v>
      </c>
      <c r="M22" s="98">
        <f>L22-K22</f>
        <v>0</v>
      </c>
      <c r="N22" s="99">
        <f>M22*100/K22</f>
        <v>0</v>
      </c>
    </row>
    <row r="23" spans="1:14" ht="12.75" customHeight="1">
      <c r="A23" s="100"/>
      <c r="B23" s="101"/>
      <c r="C23" s="102"/>
      <c r="D23" s="102"/>
      <c r="E23" s="102"/>
      <c r="F23" s="102"/>
      <c r="G23" s="102"/>
      <c r="H23" s="103" t="s">
        <v>438</v>
      </c>
      <c r="I23" s="104" t="s">
        <v>439</v>
      </c>
      <c r="J23" s="26" t="s">
        <v>440</v>
      </c>
      <c r="K23" s="14">
        <v>0</v>
      </c>
      <c r="L23" s="14">
        <v>0</v>
      </c>
      <c r="M23" s="86">
        <f t="shared" si="1"/>
        <v>0</v>
      </c>
      <c r="N23" s="87">
        <v>0</v>
      </c>
    </row>
    <row r="24" spans="1:14" ht="12.75" customHeight="1">
      <c r="A24" s="11"/>
      <c r="B24" s="17"/>
      <c r="C24" s="4"/>
      <c r="D24" s="5"/>
      <c r="E24" s="5"/>
      <c r="F24" s="5"/>
      <c r="G24" s="105"/>
      <c r="H24" s="36" t="s">
        <v>441</v>
      </c>
      <c r="I24" s="551" t="s">
        <v>413</v>
      </c>
      <c r="J24" s="534"/>
      <c r="K24" s="5">
        <f>SUM(K26:K35)</f>
        <v>46000</v>
      </c>
      <c r="L24" s="5">
        <f>SUM(L26:L35)</f>
        <v>46000</v>
      </c>
      <c r="M24" s="81">
        <f aca="true" t="shared" si="3" ref="M24:M36">L24-K24</f>
        <v>0</v>
      </c>
      <c r="N24" s="83">
        <f>M24*100/K24</f>
        <v>0</v>
      </c>
    </row>
    <row r="25" spans="1:14" ht="13.5">
      <c r="A25" s="11"/>
      <c r="B25" s="17"/>
      <c r="C25" s="13"/>
      <c r="D25" s="14"/>
      <c r="E25" s="14"/>
      <c r="F25" s="14"/>
      <c r="G25" s="85"/>
      <c r="H25" s="17"/>
      <c r="I25" s="18" t="s">
        <v>263</v>
      </c>
      <c r="J25" s="13" t="s">
        <v>417</v>
      </c>
      <c r="K25" s="14">
        <f>SUM(K26:K35)</f>
        <v>46000</v>
      </c>
      <c r="L25" s="14">
        <f>SUM(L26:L35)</f>
        <v>46000</v>
      </c>
      <c r="M25" s="86">
        <f t="shared" si="3"/>
        <v>0</v>
      </c>
      <c r="N25" s="87">
        <f>M25*100/K25</f>
        <v>0</v>
      </c>
    </row>
    <row r="26" spans="1:14" ht="13.5">
      <c r="A26" s="11"/>
      <c r="B26" s="17"/>
      <c r="C26" s="13"/>
      <c r="D26" s="14"/>
      <c r="E26" s="14"/>
      <c r="F26" s="14"/>
      <c r="G26" s="85"/>
      <c r="H26" s="17"/>
      <c r="I26" s="17"/>
      <c r="J26" s="14" t="s">
        <v>442</v>
      </c>
      <c r="K26" s="14">
        <v>0</v>
      </c>
      <c r="L26" s="14">
        <v>0</v>
      </c>
      <c r="M26" s="14">
        <f t="shared" si="3"/>
        <v>0</v>
      </c>
      <c r="N26" s="91">
        <v>0</v>
      </c>
    </row>
    <row r="27" spans="1:14" ht="13.5">
      <c r="A27" s="11"/>
      <c r="B27" s="17"/>
      <c r="C27" s="13"/>
      <c r="D27" s="14"/>
      <c r="E27" s="14"/>
      <c r="F27" s="14"/>
      <c r="G27" s="14"/>
      <c r="H27" s="17"/>
      <c r="I27" s="17"/>
      <c r="J27" s="14" t="s">
        <v>443</v>
      </c>
      <c r="K27" s="14">
        <v>440</v>
      </c>
      <c r="L27" s="14">
        <v>0</v>
      </c>
      <c r="M27" s="86">
        <f t="shared" si="3"/>
        <v>-440</v>
      </c>
      <c r="N27" s="91">
        <v>0</v>
      </c>
    </row>
    <row r="28" spans="1:14" ht="13.5">
      <c r="A28" s="11"/>
      <c r="B28" s="17"/>
      <c r="C28" s="14"/>
      <c r="D28" s="14"/>
      <c r="E28" s="14"/>
      <c r="F28" s="14"/>
      <c r="G28" s="14"/>
      <c r="H28" s="17"/>
      <c r="I28" s="17"/>
      <c r="J28" s="14" t="s">
        <v>444</v>
      </c>
      <c r="K28" s="14">
        <v>1200</v>
      </c>
      <c r="L28" s="14">
        <v>1450</v>
      </c>
      <c r="M28" s="86">
        <f t="shared" si="3"/>
        <v>250</v>
      </c>
      <c r="N28" s="87">
        <f>M28*100/K28</f>
        <v>20.833333333333332</v>
      </c>
    </row>
    <row r="29" spans="1:14" ht="13.5">
      <c r="A29" s="11"/>
      <c r="B29" s="17"/>
      <c r="C29" s="14"/>
      <c r="D29" s="14"/>
      <c r="E29" s="14"/>
      <c r="F29" s="14"/>
      <c r="G29" s="14"/>
      <c r="H29" s="17"/>
      <c r="I29" s="17"/>
      <c r="J29" s="26" t="s">
        <v>977</v>
      </c>
      <c r="K29" s="14">
        <v>0</v>
      </c>
      <c r="L29" s="14">
        <v>220</v>
      </c>
      <c r="M29" s="86">
        <f t="shared" si="3"/>
        <v>220</v>
      </c>
      <c r="N29" s="87">
        <v>0</v>
      </c>
    </row>
    <row r="30" spans="1:14" ht="13.5">
      <c r="A30" s="11"/>
      <c r="B30" s="17"/>
      <c r="C30" s="14"/>
      <c r="D30" s="14"/>
      <c r="E30" s="14"/>
      <c r="F30" s="14"/>
      <c r="G30" s="14"/>
      <c r="H30" s="17"/>
      <c r="I30" s="17"/>
      <c r="J30" s="14" t="s">
        <v>445</v>
      </c>
      <c r="K30" s="14">
        <v>0</v>
      </c>
      <c r="L30" s="14">
        <v>0</v>
      </c>
      <c r="M30" s="86">
        <f t="shared" si="3"/>
        <v>0</v>
      </c>
      <c r="N30" s="91">
        <v>0</v>
      </c>
    </row>
    <row r="31" spans="1:14" ht="13.5">
      <c r="A31" s="11"/>
      <c r="B31" s="17"/>
      <c r="C31" s="14"/>
      <c r="D31" s="14"/>
      <c r="E31" s="14"/>
      <c r="F31" s="14"/>
      <c r="G31" s="14"/>
      <c r="H31" s="17"/>
      <c r="I31" s="17"/>
      <c r="J31" s="14" t="s">
        <v>446</v>
      </c>
      <c r="K31" s="14">
        <v>0</v>
      </c>
      <c r="L31" s="14">
        <v>0</v>
      </c>
      <c r="M31" s="86">
        <f t="shared" si="3"/>
        <v>0</v>
      </c>
      <c r="N31" s="91">
        <v>0</v>
      </c>
    </row>
    <row r="32" spans="1:14" ht="13.5">
      <c r="A32" s="11"/>
      <c r="B32" s="17"/>
      <c r="C32" s="14"/>
      <c r="D32" s="14"/>
      <c r="E32" s="14"/>
      <c r="F32" s="14"/>
      <c r="G32" s="14"/>
      <c r="H32" s="17"/>
      <c r="I32" s="17"/>
      <c r="J32" s="26" t="s">
        <v>978</v>
      </c>
      <c r="K32" s="14">
        <v>410</v>
      </c>
      <c r="L32" s="14">
        <v>570</v>
      </c>
      <c r="M32" s="14">
        <f t="shared" si="3"/>
        <v>160</v>
      </c>
      <c r="N32" s="87">
        <f>M32*100/K32</f>
        <v>39.02439024390244</v>
      </c>
    </row>
    <row r="33" spans="1:14" ht="13.5">
      <c r="A33" s="11"/>
      <c r="B33" s="17"/>
      <c r="C33" s="14"/>
      <c r="D33" s="14"/>
      <c r="E33" s="14"/>
      <c r="F33" s="14"/>
      <c r="G33" s="14"/>
      <c r="H33" s="17"/>
      <c r="I33" s="17"/>
      <c r="J33" s="26" t="s">
        <v>447</v>
      </c>
      <c r="K33" s="14">
        <v>43550</v>
      </c>
      <c r="L33" s="14">
        <v>43360</v>
      </c>
      <c r="M33" s="86">
        <f t="shared" si="3"/>
        <v>-190</v>
      </c>
      <c r="N33" s="87">
        <f>M33*100/K33</f>
        <v>-0.4362801377726751</v>
      </c>
    </row>
    <row r="34" spans="1:14" ht="13.5">
      <c r="A34" s="11"/>
      <c r="B34" s="17"/>
      <c r="C34" s="14"/>
      <c r="D34" s="14"/>
      <c r="E34" s="14"/>
      <c r="F34" s="14"/>
      <c r="G34" s="14"/>
      <c r="H34" s="17"/>
      <c r="I34" s="17"/>
      <c r="J34" s="14" t="s">
        <v>259</v>
      </c>
      <c r="K34" s="14">
        <v>200</v>
      </c>
      <c r="L34" s="14">
        <v>150</v>
      </c>
      <c r="M34" s="86">
        <f t="shared" si="3"/>
        <v>-50</v>
      </c>
      <c r="N34" s="87">
        <v>0</v>
      </c>
    </row>
    <row r="35" spans="1:14" ht="13.5">
      <c r="A35" s="11"/>
      <c r="B35" s="17"/>
      <c r="C35" s="14"/>
      <c r="D35" s="14"/>
      <c r="E35" s="14"/>
      <c r="F35" s="14"/>
      <c r="G35" s="14"/>
      <c r="H35" s="4"/>
      <c r="I35" s="4"/>
      <c r="J35" s="14" t="s">
        <v>448</v>
      </c>
      <c r="K35" s="14">
        <v>200</v>
      </c>
      <c r="L35" s="14">
        <v>250</v>
      </c>
      <c r="M35" s="14">
        <f t="shared" si="3"/>
        <v>50</v>
      </c>
      <c r="N35" s="87">
        <f>M35*100/K35</f>
        <v>25</v>
      </c>
    </row>
    <row r="36" spans="1:14" ht="14.25" thickBot="1">
      <c r="A36" s="41"/>
      <c r="B36" s="42"/>
      <c r="C36" s="37"/>
      <c r="D36" s="37"/>
      <c r="E36" s="37"/>
      <c r="F36" s="37"/>
      <c r="G36" s="37"/>
      <c r="H36" s="37" t="s">
        <v>449</v>
      </c>
      <c r="I36" s="106" t="s">
        <v>450</v>
      </c>
      <c r="J36" s="106" t="s">
        <v>451</v>
      </c>
      <c r="K36" s="37">
        <v>316</v>
      </c>
      <c r="L36" s="37">
        <v>198</v>
      </c>
      <c r="M36" s="495">
        <f t="shared" si="3"/>
        <v>-118</v>
      </c>
      <c r="N36" s="107">
        <v>0</v>
      </c>
    </row>
  </sheetData>
  <mergeCells count="19">
    <mergeCell ref="I8:J8"/>
    <mergeCell ref="I24:J24"/>
    <mergeCell ref="H5:H6"/>
    <mergeCell ref="K5:K6"/>
    <mergeCell ref="L5:L6"/>
    <mergeCell ref="A7:C7"/>
    <mergeCell ref="H7:J7"/>
    <mergeCell ref="I5:I6"/>
    <mergeCell ref="J5:J6"/>
    <mergeCell ref="A1:N1"/>
    <mergeCell ref="A4:G4"/>
    <mergeCell ref="H4:N4"/>
    <mergeCell ref="A5:A6"/>
    <mergeCell ref="B5:B6"/>
    <mergeCell ref="C5:C6"/>
    <mergeCell ref="D5:D6"/>
    <mergeCell ref="E5:E6"/>
    <mergeCell ref="M5:N5"/>
    <mergeCell ref="F5:G5"/>
  </mergeCells>
  <printOptions/>
  <pageMargins left="0.35433070866141736" right="0.35433070866141736" top="0.5905511811023623" bottom="0.5905511811023623" header="0" footer="0"/>
  <pageSetup horizontalDpi="600" verticalDpi="600" orientation="landscape" paperSize="9" r:id="rId1"/>
  <ignoredErrors>
    <ignoredError sqref="K17:L17 K24:K25 L24:L2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="75" zoomScaleNormal="75" workbookViewId="0" topLeftCell="A1">
      <selection activeCell="A2" sqref="A2"/>
    </sheetView>
  </sheetViews>
  <sheetFormatPr defaultColWidth="8.88671875" defaultRowHeight="13.5"/>
  <cols>
    <col min="2" max="2" width="10.6640625" style="0" customWidth="1"/>
    <col min="3" max="3" width="11.77734375" style="0" customWidth="1"/>
    <col min="4" max="4" width="7.99609375" style="0" customWidth="1"/>
    <col min="5" max="5" width="7.6640625" style="0" customWidth="1"/>
    <col min="6" max="6" width="7.21484375" style="0" customWidth="1"/>
    <col min="7" max="7" width="7.10546875" style="0" customWidth="1"/>
    <col min="10" max="10" width="11.4453125" style="0" customWidth="1"/>
    <col min="11" max="12" width="8.10546875" style="0" customWidth="1"/>
    <col min="13" max="13" width="7.88671875" style="0" customWidth="1"/>
    <col min="14" max="14" width="7.10546875" style="0" customWidth="1"/>
  </cols>
  <sheetData>
    <row r="1" spans="1:14" ht="39" customHeight="1">
      <c r="A1" s="565" t="s">
        <v>1096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</row>
    <row r="2" spans="1:14" ht="24" customHeight="1" thickBot="1">
      <c r="A2" s="2" t="s">
        <v>0</v>
      </c>
      <c r="B2" s="2"/>
      <c r="C2" s="2"/>
      <c r="D2" s="2"/>
      <c r="E2" s="2" t="s">
        <v>1</v>
      </c>
      <c r="F2" s="2"/>
      <c r="G2" s="2"/>
      <c r="H2" s="2"/>
      <c r="I2" s="2"/>
      <c r="J2" s="2"/>
      <c r="K2" s="2"/>
      <c r="L2" s="2"/>
      <c r="M2" s="2" t="s">
        <v>2</v>
      </c>
      <c r="N2" s="2"/>
    </row>
    <row r="3" spans="1:14" ht="24" customHeight="1">
      <c r="A3" s="566" t="s">
        <v>3</v>
      </c>
      <c r="B3" s="567"/>
      <c r="C3" s="567"/>
      <c r="D3" s="567"/>
      <c r="E3" s="567"/>
      <c r="F3" s="567"/>
      <c r="G3" s="567"/>
      <c r="H3" s="567" t="s">
        <v>4</v>
      </c>
      <c r="I3" s="567"/>
      <c r="J3" s="567"/>
      <c r="K3" s="567"/>
      <c r="L3" s="567"/>
      <c r="M3" s="567"/>
      <c r="N3" s="568"/>
    </row>
    <row r="4" spans="1:14" ht="18" customHeight="1">
      <c r="A4" s="569" t="s">
        <v>5</v>
      </c>
      <c r="B4" s="571" t="s">
        <v>6</v>
      </c>
      <c r="C4" s="571" t="s">
        <v>7</v>
      </c>
      <c r="D4" s="571" t="s">
        <v>1073</v>
      </c>
      <c r="E4" s="571" t="s">
        <v>1074</v>
      </c>
      <c r="F4" s="571" t="s">
        <v>8</v>
      </c>
      <c r="G4" s="571"/>
      <c r="H4" s="571" t="s">
        <v>5</v>
      </c>
      <c r="I4" s="571" t="s">
        <v>6</v>
      </c>
      <c r="J4" s="571" t="s">
        <v>7</v>
      </c>
      <c r="K4" s="571" t="s">
        <v>1073</v>
      </c>
      <c r="L4" s="571" t="s">
        <v>1074</v>
      </c>
      <c r="M4" s="571" t="s">
        <v>8</v>
      </c>
      <c r="N4" s="573"/>
    </row>
    <row r="5" spans="1:14" ht="18" customHeight="1" thickBot="1">
      <c r="A5" s="570"/>
      <c r="B5" s="572"/>
      <c r="C5" s="572"/>
      <c r="D5" s="572"/>
      <c r="E5" s="572"/>
      <c r="F5" s="501" t="s">
        <v>9</v>
      </c>
      <c r="G5" s="501" t="s">
        <v>10</v>
      </c>
      <c r="H5" s="572"/>
      <c r="I5" s="572"/>
      <c r="J5" s="572"/>
      <c r="K5" s="572"/>
      <c r="L5" s="572"/>
      <c r="M5" s="501" t="s">
        <v>9</v>
      </c>
      <c r="N5" s="502" t="s">
        <v>10</v>
      </c>
    </row>
    <row r="6" spans="1:14" ht="33.75" customHeight="1">
      <c r="A6" s="548" t="s">
        <v>1088</v>
      </c>
      <c r="B6" s="549"/>
      <c r="C6" s="549"/>
      <c r="D6" s="511">
        <f>D7+D10+D18+D21</f>
        <v>63192</v>
      </c>
      <c r="E6" s="511">
        <f>E7+E10+E18+E21</f>
        <v>57736</v>
      </c>
      <c r="F6" s="515">
        <f aca="true" t="shared" si="0" ref="F6:F15">E6-D6</f>
        <v>-5456</v>
      </c>
      <c r="G6" s="513">
        <f aca="true" t="shared" si="1" ref="G6:G13">F6*100/D6</f>
        <v>-8.634004304342321</v>
      </c>
      <c r="H6" s="550" t="s">
        <v>1089</v>
      </c>
      <c r="I6" s="550"/>
      <c r="J6" s="550"/>
      <c r="K6" s="511">
        <f>K7+K26+K31</f>
        <v>63192</v>
      </c>
      <c r="L6" s="511">
        <f>L7+L26+L31+L37+L39</f>
        <v>57736</v>
      </c>
      <c r="M6" s="515">
        <f aca="true" t="shared" si="2" ref="M6:M22">L6-K6</f>
        <v>-5456</v>
      </c>
      <c r="N6" s="514">
        <f>M6*100/K6</f>
        <v>-8.634004304342321</v>
      </c>
    </row>
    <row r="7" spans="1:14" ht="25.5" customHeight="1">
      <c r="A7" s="80" t="s">
        <v>274</v>
      </c>
      <c r="B7" s="564" t="s">
        <v>11</v>
      </c>
      <c r="C7" s="564"/>
      <c r="D7" s="5">
        <f>D8</f>
        <v>21600</v>
      </c>
      <c r="E7" s="5">
        <f>E8</f>
        <v>19200</v>
      </c>
      <c r="F7" s="496">
        <f t="shared" si="0"/>
        <v>-2400</v>
      </c>
      <c r="G7" s="82">
        <f t="shared" si="1"/>
        <v>-11.11111111111111</v>
      </c>
      <c r="H7" s="23" t="s">
        <v>12</v>
      </c>
      <c r="I7" s="564" t="s">
        <v>11</v>
      </c>
      <c r="J7" s="564"/>
      <c r="K7" s="9">
        <f>K8+K17</f>
        <v>54363</v>
      </c>
      <c r="L7" s="9">
        <f>L8+L17</f>
        <v>47073</v>
      </c>
      <c r="M7" s="108">
        <f t="shared" si="2"/>
        <v>-7290</v>
      </c>
      <c r="N7" s="83">
        <f>M7*100/K7</f>
        <v>-13.409855968213675</v>
      </c>
    </row>
    <row r="8" spans="1:14" ht="22.5" customHeight="1">
      <c r="A8" s="80" t="s">
        <v>275</v>
      </c>
      <c r="B8" s="109" t="s">
        <v>452</v>
      </c>
      <c r="C8" s="13" t="s">
        <v>13</v>
      </c>
      <c r="D8" s="14">
        <v>21600</v>
      </c>
      <c r="E8" s="14">
        <v>19200</v>
      </c>
      <c r="F8" s="110">
        <f t="shared" si="0"/>
        <v>-2400</v>
      </c>
      <c r="G8" s="90">
        <f t="shared" si="1"/>
        <v>-11.11111111111111</v>
      </c>
      <c r="H8" s="17"/>
      <c r="I8" s="18" t="s">
        <v>14</v>
      </c>
      <c r="J8" s="13" t="s">
        <v>13</v>
      </c>
      <c r="K8" s="14">
        <f>SUM(K9:K16)</f>
        <v>46267</v>
      </c>
      <c r="L8" s="14">
        <f>SUM(L9:L16)</f>
        <v>37693</v>
      </c>
      <c r="M8" s="110">
        <f t="shared" si="2"/>
        <v>-8574</v>
      </c>
      <c r="N8" s="87">
        <f>M8*100/K8</f>
        <v>-18.53156677545551</v>
      </c>
    </row>
    <row r="9" spans="1:14" ht="21" customHeight="1">
      <c r="A9" s="25"/>
      <c r="B9" s="68"/>
      <c r="C9" s="20" t="s">
        <v>276</v>
      </c>
      <c r="D9" s="14">
        <v>21600</v>
      </c>
      <c r="E9" s="14">
        <v>19200</v>
      </c>
      <c r="F9" s="110">
        <f t="shared" si="0"/>
        <v>-2400</v>
      </c>
      <c r="G9" s="90">
        <f t="shared" si="1"/>
        <v>-11.11111111111111</v>
      </c>
      <c r="H9" s="17"/>
      <c r="I9" s="535"/>
      <c r="J9" s="14" t="s">
        <v>299</v>
      </c>
      <c r="K9" s="14">
        <v>16284</v>
      </c>
      <c r="L9" s="14">
        <v>17904</v>
      </c>
      <c r="M9" s="110">
        <f t="shared" si="2"/>
        <v>1620</v>
      </c>
      <c r="N9" s="87">
        <f>M9*100/K9</f>
        <v>9.948415622697127</v>
      </c>
    </row>
    <row r="10" spans="1:14" ht="21" customHeight="1">
      <c r="A10" s="27" t="s">
        <v>453</v>
      </c>
      <c r="B10" s="49" t="s">
        <v>372</v>
      </c>
      <c r="C10" s="32"/>
      <c r="D10" s="14">
        <f>D11+D14</f>
        <v>39668</v>
      </c>
      <c r="E10" s="14">
        <f>E11+E14</f>
        <v>37668</v>
      </c>
      <c r="F10" s="110">
        <f t="shared" si="0"/>
        <v>-2000</v>
      </c>
      <c r="G10" s="90">
        <f t="shared" si="1"/>
        <v>-5.041847332862761</v>
      </c>
      <c r="H10" s="17"/>
      <c r="I10" s="536"/>
      <c r="J10" s="14" t="s">
        <v>300</v>
      </c>
      <c r="K10" s="14">
        <v>6924</v>
      </c>
      <c r="L10" s="14">
        <v>6264</v>
      </c>
      <c r="M10" s="110">
        <f t="shared" si="2"/>
        <v>-660</v>
      </c>
      <c r="N10" s="87">
        <f>M10*100/K10</f>
        <v>-9.532062391681109</v>
      </c>
    </row>
    <row r="11" spans="1:14" ht="21" customHeight="1">
      <c r="A11" s="80" t="s">
        <v>454</v>
      </c>
      <c r="B11" s="29" t="s">
        <v>455</v>
      </c>
      <c r="C11" s="13" t="s">
        <v>374</v>
      </c>
      <c r="D11" s="14">
        <f>SUM(D12:D13)</f>
        <v>37668</v>
      </c>
      <c r="E11" s="14">
        <f>SUM(E12:E13)</f>
        <v>37668</v>
      </c>
      <c r="F11" s="14">
        <f t="shared" si="0"/>
        <v>0</v>
      </c>
      <c r="G11" s="85">
        <f t="shared" si="1"/>
        <v>0</v>
      </c>
      <c r="H11" s="17"/>
      <c r="I11" s="536"/>
      <c r="J11" s="14" t="s">
        <v>456</v>
      </c>
      <c r="K11" s="14">
        <v>7200</v>
      </c>
      <c r="L11" s="14">
        <v>0</v>
      </c>
      <c r="M11" s="110">
        <f t="shared" si="2"/>
        <v>-7200</v>
      </c>
      <c r="N11" s="91">
        <v>0</v>
      </c>
    </row>
    <row r="12" spans="1:14" ht="21" customHeight="1">
      <c r="A12" s="11"/>
      <c r="B12" s="17"/>
      <c r="C12" s="20" t="s">
        <v>457</v>
      </c>
      <c r="D12" s="14">
        <v>34068</v>
      </c>
      <c r="E12" s="14">
        <v>34068</v>
      </c>
      <c r="F12" s="14">
        <f t="shared" si="0"/>
        <v>0</v>
      </c>
      <c r="G12" s="85">
        <f t="shared" si="1"/>
        <v>0</v>
      </c>
      <c r="H12" s="17"/>
      <c r="I12" s="536"/>
      <c r="J12" s="14" t="s">
        <v>301</v>
      </c>
      <c r="K12" s="14">
        <v>3277</v>
      </c>
      <c r="L12" s="14">
        <v>2857</v>
      </c>
      <c r="M12" s="110">
        <f t="shared" si="2"/>
        <v>-420</v>
      </c>
      <c r="N12" s="87">
        <f aca="true" t="shared" si="3" ref="N12:N17">M12*100/K12</f>
        <v>-12.81660054928288</v>
      </c>
    </row>
    <row r="13" spans="1:14" ht="21" customHeight="1">
      <c r="A13" s="11"/>
      <c r="B13" s="4"/>
      <c r="C13" s="20" t="s">
        <v>1091</v>
      </c>
      <c r="D13" s="14">
        <v>3600</v>
      </c>
      <c r="E13" s="14">
        <v>3600</v>
      </c>
      <c r="F13" s="14">
        <f t="shared" si="0"/>
        <v>0</v>
      </c>
      <c r="G13" s="85">
        <f t="shared" si="1"/>
        <v>0</v>
      </c>
      <c r="H13" s="17"/>
      <c r="I13" s="536"/>
      <c r="J13" s="26" t="s">
        <v>458</v>
      </c>
      <c r="K13" s="14">
        <v>2587</v>
      </c>
      <c r="L13" s="14">
        <v>2660</v>
      </c>
      <c r="M13" s="110">
        <f t="shared" si="2"/>
        <v>73</v>
      </c>
      <c r="N13" s="87">
        <f t="shared" si="3"/>
        <v>2.821801314263626</v>
      </c>
    </row>
    <row r="14" spans="1:14" ht="21" customHeight="1">
      <c r="A14" s="3"/>
      <c r="B14" s="29" t="s">
        <v>459</v>
      </c>
      <c r="C14" s="13" t="s">
        <v>374</v>
      </c>
      <c r="D14" s="14">
        <f>SUM(D15:D16)</f>
        <v>2000</v>
      </c>
      <c r="E14" s="14">
        <f>SUM(E15:E16)</f>
        <v>0</v>
      </c>
      <c r="F14" s="110">
        <f t="shared" si="0"/>
        <v>-2000</v>
      </c>
      <c r="G14" s="85">
        <v>0</v>
      </c>
      <c r="H14" s="17"/>
      <c r="I14" s="536"/>
      <c r="J14" s="26" t="s">
        <v>460</v>
      </c>
      <c r="K14" s="14">
        <v>4235</v>
      </c>
      <c r="L14" s="14">
        <v>2518</v>
      </c>
      <c r="M14" s="110">
        <f t="shared" si="2"/>
        <v>-1717</v>
      </c>
      <c r="N14" s="87">
        <f t="shared" si="3"/>
        <v>-40.543093270366</v>
      </c>
    </row>
    <row r="15" spans="1:14" ht="21" customHeight="1">
      <c r="A15" s="11"/>
      <c r="B15" s="17"/>
      <c r="C15" s="20" t="s">
        <v>461</v>
      </c>
      <c r="D15" s="14">
        <v>2000</v>
      </c>
      <c r="E15" s="14">
        <v>0</v>
      </c>
      <c r="F15" s="110">
        <f t="shared" si="0"/>
        <v>-2000</v>
      </c>
      <c r="G15" s="85">
        <v>0</v>
      </c>
      <c r="H15" s="17"/>
      <c r="I15" s="536"/>
      <c r="J15" s="14" t="s">
        <v>462</v>
      </c>
      <c r="K15" s="14">
        <v>2160</v>
      </c>
      <c r="L15" s="14">
        <v>1890</v>
      </c>
      <c r="M15" s="110">
        <f t="shared" si="2"/>
        <v>-270</v>
      </c>
      <c r="N15" s="87">
        <f t="shared" si="3"/>
        <v>-12.5</v>
      </c>
    </row>
    <row r="16" spans="1:14" ht="21" customHeight="1">
      <c r="A16" s="11"/>
      <c r="B16" s="17"/>
      <c r="C16" s="20"/>
      <c r="D16" s="14"/>
      <c r="E16" s="14"/>
      <c r="F16" s="14"/>
      <c r="G16" s="85"/>
      <c r="H16" s="17"/>
      <c r="I16" s="536"/>
      <c r="J16" s="14" t="s">
        <v>463</v>
      </c>
      <c r="K16" s="14">
        <v>3600</v>
      </c>
      <c r="L16" s="14">
        <v>3600</v>
      </c>
      <c r="M16" s="21">
        <f t="shared" si="2"/>
        <v>0</v>
      </c>
      <c r="N16" s="91">
        <f t="shared" si="3"/>
        <v>0</v>
      </c>
    </row>
    <row r="17" spans="1:14" ht="23.25" customHeight="1">
      <c r="A17" s="25"/>
      <c r="B17" s="4"/>
      <c r="C17" s="20"/>
      <c r="D17" s="14"/>
      <c r="E17" s="14"/>
      <c r="F17" s="14"/>
      <c r="G17" s="85"/>
      <c r="H17" s="17"/>
      <c r="I17" s="18" t="s">
        <v>464</v>
      </c>
      <c r="J17" s="13" t="s">
        <v>374</v>
      </c>
      <c r="K17" s="14">
        <f>SUM(K18:K22)</f>
        <v>8096</v>
      </c>
      <c r="L17" s="14">
        <f>SUM(L18:L22)</f>
        <v>9380</v>
      </c>
      <c r="M17" s="112">
        <f t="shared" si="2"/>
        <v>1284</v>
      </c>
      <c r="N17" s="87">
        <f t="shared" si="3"/>
        <v>15.859683794466402</v>
      </c>
    </row>
    <row r="18" spans="1:14" ht="19.5" customHeight="1">
      <c r="A18" s="27" t="s">
        <v>465</v>
      </c>
      <c r="B18" s="433" t="s">
        <v>372</v>
      </c>
      <c r="C18" s="35"/>
      <c r="D18" s="14">
        <f>D19</f>
        <v>1921</v>
      </c>
      <c r="E18" s="14">
        <f>E19</f>
        <v>865</v>
      </c>
      <c r="F18" s="110">
        <f>E18-D18</f>
        <v>-1056</v>
      </c>
      <c r="G18" s="90">
        <f>F18*100/D18</f>
        <v>-54.971369078604894</v>
      </c>
      <c r="H18" s="17"/>
      <c r="I18" s="564"/>
      <c r="J18" s="14" t="s">
        <v>466</v>
      </c>
      <c r="K18" s="14">
        <v>200</v>
      </c>
      <c r="L18" s="14">
        <v>200</v>
      </c>
      <c r="M18" s="21">
        <f t="shared" si="2"/>
        <v>0</v>
      </c>
      <c r="N18" s="91">
        <v>0</v>
      </c>
    </row>
    <row r="19" spans="1:14" ht="18" customHeight="1">
      <c r="A19" s="11"/>
      <c r="B19" s="29" t="s">
        <v>467</v>
      </c>
      <c r="C19" s="13" t="s">
        <v>374</v>
      </c>
      <c r="D19" s="14">
        <f>D20</f>
        <v>1921</v>
      </c>
      <c r="E19" s="14">
        <f>E20</f>
        <v>865</v>
      </c>
      <c r="F19" s="110">
        <f>E19-D19</f>
        <v>-1056</v>
      </c>
      <c r="G19" s="90">
        <f>F19*100/D19</f>
        <v>-54.971369078604894</v>
      </c>
      <c r="H19" s="17"/>
      <c r="I19" s="562"/>
      <c r="J19" s="20" t="s">
        <v>468</v>
      </c>
      <c r="K19" s="14">
        <v>816</v>
      </c>
      <c r="L19" s="14">
        <v>1200</v>
      </c>
      <c r="M19" s="112">
        <f t="shared" si="2"/>
        <v>384</v>
      </c>
      <c r="N19" s="91">
        <v>0</v>
      </c>
    </row>
    <row r="20" spans="1:14" ht="18" customHeight="1">
      <c r="A20" s="25"/>
      <c r="B20" s="4"/>
      <c r="C20" s="20" t="s">
        <v>469</v>
      </c>
      <c r="D20" s="14">
        <v>1921</v>
      </c>
      <c r="E20" s="14">
        <v>865</v>
      </c>
      <c r="F20" s="110">
        <f>E20-D20</f>
        <v>-1056</v>
      </c>
      <c r="G20" s="90">
        <f>F20*100/D20</f>
        <v>-54.971369078604894</v>
      </c>
      <c r="H20" s="17"/>
      <c r="I20" s="562"/>
      <c r="J20" s="14" t="s">
        <v>470</v>
      </c>
      <c r="K20" s="14">
        <v>2720</v>
      </c>
      <c r="L20" s="14">
        <v>3620</v>
      </c>
      <c r="M20" s="112">
        <f t="shared" si="2"/>
        <v>900</v>
      </c>
      <c r="N20" s="91">
        <v>0</v>
      </c>
    </row>
    <row r="21" spans="1:14" ht="22.5" customHeight="1">
      <c r="A21" s="3" t="s">
        <v>471</v>
      </c>
      <c r="B21" s="433" t="s">
        <v>372</v>
      </c>
      <c r="C21" s="434"/>
      <c r="D21" s="5">
        <f>D22</f>
        <v>3</v>
      </c>
      <c r="E21" s="5">
        <f>E22</f>
        <v>3</v>
      </c>
      <c r="F21" s="5">
        <f>E21-D21</f>
        <v>0</v>
      </c>
      <c r="G21" s="105">
        <f>F21*100/D21</f>
        <v>0</v>
      </c>
      <c r="H21" s="17"/>
      <c r="I21" s="562"/>
      <c r="J21" s="14" t="s">
        <v>472</v>
      </c>
      <c r="K21" s="14">
        <v>1740</v>
      </c>
      <c r="L21" s="14">
        <v>1740</v>
      </c>
      <c r="M21" s="112">
        <f t="shared" si="2"/>
        <v>0</v>
      </c>
      <c r="N21" s="87">
        <f>M21*100/K21</f>
        <v>0</v>
      </c>
    </row>
    <row r="22" spans="1:14" ht="24" customHeight="1" thickBot="1">
      <c r="A22" s="113"/>
      <c r="B22" s="37" t="s">
        <v>473</v>
      </c>
      <c r="C22" s="106" t="s">
        <v>474</v>
      </c>
      <c r="D22" s="37">
        <v>3</v>
      </c>
      <c r="E22" s="37">
        <v>3</v>
      </c>
      <c r="F22" s="37">
        <f>E22-D22</f>
        <v>0</v>
      </c>
      <c r="G22" s="114">
        <f>F22*100/D22</f>
        <v>0</v>
      </c>
      <c r="H22" s="42"/>
      <c r="I22" s="537"/>
      <c r="J22" s="37" t="s">
        <v>475</v>
      </c>
      <c r="K22" s="37">
        <v>2620</v>
      </c>
      <c r="L22" s="37">
        <v>2620</v>
      </c>
      <c r="M22" s="116">
        <f t="shared" si="2"/>
        <v>0</v>
      </c>
      <c r="N22" s="117">
        <f>M22*100/K22</f>
        <v>0</v>
      </c>
    </row>
    <row r="23" spans="1:14" ht="27" customHeight="1">
      <c r="A23" s="566" t="s">
        <v>476</v>
      </c>
      <c r="B23" s="567"/>
      <c r="C23" s="567"/>
      <c r="D23" s="567"/>
      <c r="E23" s="567"/>
      <c r="F23" s="567"/>
      <c r="G23" s="567"/>
      <c r="H23" s="567" t="s">
        <v>477</v>
      </c>
      <c r="I23" s="567"/>
      <c r="J23" s="567"/>
      <c r="K23" s="567"/>
      <c r="L23" s="567"/>
      <c r="M23" s="567"/>
      <c r="N23" s="568"/>
    </row>
    <row r="24" spans="1:14" ht="21.75" customHeight="1">
      <c r="A24" s="569" t="s">
        <v>478</v>
      </c>
      <c r="B24" s="571" t="s">
        <v>479</v>
      </c>
      <c r="C24" s="571" t="s">
        <v>480</v>
      </c>
      <c r="D24" s="571" t="s">
        <v>1073</v>
      </c>
      <c r="E24" s="571" t="s">
        <v>1074</v>
      </c>
      <c r="F24" s="571" t="s">
        <v>481</v>
      </c>
      <c r="G24" s="571"/>
      <c r="H24" s="571" t="s">
        <v>478</v>
      </c>
      <c r="I24" s="571" t="s">
        <v>479</v>
      </c>
      <c r="J24" s="571" t="s">
        <v>480</v>
      </c>
      <c r="K24" s="571" t="s">
        <v>1073</v>
      </c>
      <c r="L24" s="571" t="s">
        <v>1074</v>
      </c>
      <c r="M24" s="571" t="s">
        <v>481</v>
      </c>
      <c r="N24" s="573"/>
    </row>
    <row r="25" spans="1:14" ht="21.75" customHeight="1" thickBot="1">
      <c r="A25" s="570"/>
      <c r="B25" s="572"/>
      <c r="C25" s="572"/>
      <c r="D25" s="572"/>
      <c r="E25" s="572"/>
      <c r="F25" s="501" t="s">
        <v>482</v>
      </c>
      <c r="G25" s="501" t="s">
        <v>483</v>
      </c>
      <c r="H25" s="572"/>
      <c r="I25" s="572"/>
      <c r="J25" s="572"/>
      <c r="K25" s="572"/>
      <c r="L25" s="572"/>
      <c r="M25" s="501" t="s">
        <v>482</v>
      </c>
      <c r="N25" s="502" t="s">
        <v>483</v>
      </c>
    </row>
    <row r="26" spans="1:14" ht="24.75" customHeight="1">
      <c r="A26" s="52"/>
      <c r="B26" s="4"/>
      <c r="C26" s="4"/>
      <c r="D26" s="5"/>
      <c r="E26" s="5"/>
      <c r="F26" s="5"/>
      <c r="G26" s="105"/>
      <c r="H26" s="36" t="s">
        <v>484</v>
      </c>
      <c r="I26" s="564" t="s">
        <v>372</v>
      </c>
      <c r="J26" s="564"/>
      <c r="K26" s="5">
        <f>SUM(K28:K30)</f>
        <v>1500</v>
      </c>
      <c r="L26" s="5">
        <f>SUM(L28:L30)</f>
        <v>1500</v>
      </c>
      <c r="M26" s="496">
        <f aca="true" t="shared" si="4" ref="M26:M37">L26-K26</f>
        <v>0</v>
      </c>
      <c r="N26" s="83">
        <f>M26*100/K26</f>
        <v>0</v>
      </c>
    </row>
    <row r="27" spans="1:14" ht="24.75" customHeight="1">
      <c r="A27" s="50"/>
      <c r="B27" s="14"/>
      <c r="C27" s="13"/>
      <c r="D27" s="14"/>
      <c r="E27" s="14"/>
      <c r="F27" s="14"/>
      <c r="G27" s="85"/>
      <c r="H27" s="17" t="s">
        <v>485</v>
      </c>
      <c r="I27" s="18" t="s">
        <v>486</v>
      </c>
      <c r="J27" s="13" t="s">
        <v>374</v>
      </c>
      <c r="K27" s="14">
        <f>SUM(K28:K30)</f>
        <v>1500</v>
      </c>
      <c r="L27" s="14">
        <f>SUM(L28:L30)</f>
        <v>1500</v>
      </c>
      <c r="M27" s="110">
        <f t="shared" si="4"/>
        <v>0</v>
      </c>
      <c r="N27" s="87">
        <f>M27*100/K27</f>
        <v>0</v>
      </c>
    </row>
    <row r="28" spans="1:14" ht="24.75" customHeight="1">
      <c r="A28" s="111"/>
      <c r="B28" s="13"/>
      <c r="C28" s="13"/>
      <c r="D28" s="14"/>
      <c r="E28" s="14"/>
      <c r="F28" s="14"/>
      <c r="G28" s="85"/>
      <c r="H28" s="17"/>
      <c r="I28" s="23"/>
      <c r="J28" s="20" t="s">
        <v>487</v>
      </c>
      <c r="K28" s="14">
        <v>0</v>
      </c>
      <c r="L28" s="14">
        <v>0</v>
      </c>
      <c r="M28" s="110">
        <f t="shared" si="4"/>
        <v>0</v>
      </c>
      <c r="N28" s="91">
        <v>0</v>
      </c>
    </row>
    <row r="29" spans="1:14" ht="24.75" customHeight="1">
      <c r="A29" s="111"/>
      <c r="B29" s="13"/>
      <c r="C29" s="13"/>
      <c r="D29" s="14"/>
      <c r="E29" s="14"/>
      <c r="F29" s="14"/>
      <c r="G29" s="85"/>
      <c r="H29" s="17"/>
      <c r="I29" s="23"/>
      <c r="J29" s="20" t="s">
        <v>488</v>
      </c>
      <c r="K29" s="14">
        <v>1500</v>
      </c>
      <c r="L29" s="14">
        <v>1500</v>
      </c>
      <c r="M29" s="110">
        <f t="shared" si="4"/>
        <v>0</v>
      </c>
      <c r="N29" s="87">
        <f>M29*100/K29</f>
        <v>0</v>
      </c>
    </row>
    <row r="30" spans="1:14" ht="24.75" customHeight="1">
      <c r="A30" s="111"/>
      <c r="B30" s="13"/>
      <c r="C30" s="14"/>
      <c r="D30" s="14"/>
      <c r="E30" s="14"/>
      <c r="F30" s="14"/>
      <c r="G30" s="14"/>
      <c r="H30" s="4"/>
      <c r="I30" s="68"/>
      <c r="J30" s="30" t="s">
        <v>489</v>
      </c>
      <c r="K30" s="14">
        <v>0</v>
      </c>
      <c r="L30" s="14">
        <v>0</v>
      </c>
      <c r="M30" s="13">
        <f t="shared" si="4"/>
        <v>0</v>
      </c>
      <c r="N30" s="91">
        <v>0</v>
      </c>
    </row>
    <row r="31" spans="1:14" ht="24.75" customHeight="1">
      <c r="A31" s="111"/>
      <c r="B31" s="13"/>
      <c r="C31" s="14"/>
      <c r="D31" s="14"/>
      <c r="E31" s="14"/>
      <c r="F31" s="14"/>
      <c r="G31" s="14"/>
      <c r="H31" s="29" t="s">
        <v>490</v>
      </c>
      <c r="I31" s="551" t="s">
        <v>372</v>
      </c>
      <c r="J31" s="534"/>
      <c r="K31" s="14">
        <f>SUM(K32+K35)</f>
        <v>7329</v>
      </c>
      <c r="L31" s="14">
        <f>SUM(L32+L35)</f>
        <v>7689</v>
      </c>
      <c r="M31" s="110">
        <f t="shared" si="4"/>
        <v>360</v>
      </c>
      <c r="N31" s="87">
        <f>M31*100/K31</f>
        <v>4.911993450675399</v>
      </c>
    </row>
    <row r="32" spans="1:14" ht="24.75" customHeight="1">
      <c r="A32" s="111"/>
      <c r="B32" s="13"/>
      <c r="C32" s="14"/>
      <c r="D32" s="14"/>
      <c r="E32" s="14"/>
      <c r="F32" s="14"/>
      <c r="G32" s="14"/>
      <c r="H32" s="17"/>
      <c r="I32" s="18" t="s">
        <v>373</v>
      </c>
      <c r="J32" s="13" t="s">
        <v>374</v>
      </c>
      <c r="K32" s="14">
        <f>SUM(K33:K34)</f>
        <v>4320</v>
      </c>
      <c r="L32" s="14">
        <f>SUM(L33:L34)</f>
        <v>4320</v>
      </c>
      <c r="M32" s="110">
        <f t="shared" si="4"/>
        <v>0</v>
      </c>
      <c r="N32" s="87">
        <f>M32*100/K32</f>
        <v>0</v>
      </c>
    </row>
    <row r="33" spans="1:14" ht="24.75" customHeight="1">
      <c r="A33" s="111"/>
      <c r="B33" s="13"/>
      <c r="C33" s="14"/>
      <c r="D33" s="14"/>
      <c r="E33" s="14"/>
      <c r="F33" s="14"/>
      <c r="G33" s="14"/>
      <c r="H33" s="17"/>
      <c r="I33" s="23"/>
      <c r="J33" s="20" t="s">
        <v>491</v>
      </c>
      <c r="K33" s="14">
        <v>2160</v>
      </c>
      <c r="L33" s="14">
        <v>2160</v>
      </c>
      <c r="M33" s="110">
        <f t="shared" si="4"/>
        <v>0</v>
      </c>
      <c r="N33" s="91">
        <v>0</v>
      </c>
    </row>
    <row r="34" spans="1:14" ht="24.75" customHeight="1">
      <c r="A34" s="111"/>
      <c r="B34" s="13"/>
      <c r="C34" s="14"/>
      <c r="D34" s="14"/>
      <c r="E34" s="14"/>
      <c r="F34" s="14"/>
      <c r="G34" s="14"/>
      <c r="H34" s="17"/>
      <c r="I34" s="23"/>
      <c r="J34" s="20" t="s">
        <v>976</v>
      </c>
      <c r="K34" s="14">
        <v>2160</v>
      </c>
      <c r="L34" s="14">
        <v>2160</v>
      </c>
      <c r="M34" s="110">
        <f t="shared" si="4"/>
        <v>0</v>
      </c>
      <c r="N34" s="91">
        <v>0</v>
      </c>
    </row>
    <row r="35" spans="1:14" ht="24.75" customHeight="1">
      <c r="A35" s="111"/>
      <c r="B35" s="13"/>
      <c r="C35" s="14"/>
      <c r="D35" s="14"/>
      <c r="E35" s="14"/>
      <c r="F35" s="14"/>
      <c r="G35" s="14"/>
      <c r="H35" s="17"/>
      <c r="I35" s="68"/>
      <c r="J35" s="13" t="s">
        <v>693</v>
      </c>
      <c r="K35" s="14">
        <v>3009</v>
      </c>
      <c r="L35" s="14">
        <f>SUM(L36)</f>
        <v>3369</v>
      </c>
      <c r="M35" s="13">
        <f t="shared" si="4"/>
        <v>360</v>
      </c>
      <c r="N35" s="91">
        <v>0</v>
      </c>
    </row>
    <row r="36" spans="1:14" ht="24.75" customHeight="1">
      <c r="A36" s="111"/>
      <c r="B36" s="13"/>
      <c r="C36" s="14"/>
      <c r="D36" s="14"/>
      <c r="E36" s="14"/>
      <c r="F36" s="14"/>
      <c r="G36" s="14"/>
      <c r="H36" s="4"/>
      <c r="I36" s="20" t="s">
        <v>492</v>
      </c>
      <c r="J36" s="20" t="s">
        <v>493</v>
      </c>
      <c r="K36" s="14">
        <v>3009</v>
      </c>
      <c r="L36" s="14">
        <v>3369</v>
      </c>
      <c r="M36" s="110">
        <f t="shared" si="4"/>
        <v>360</v>
      </c>
      <c r="N36" s="87">
        <v>0</v>
      </c>
    </row>
    <row r="37" spans="1:14" ht="24.75" customHeight="1">
      <c r="A37" s="111"/>
      <c r="B37" s="13"/>
      <c r="C37" s="14"/>
      <c r="D37" s="14"/>
      <c r="E37" s="14"/>
      <c r="F37" s="14"/>
      <c r="G37" s="14"/>
      <c r="H37" s="29" t="s">
        <v>494</v>
      </c>
      <c r="I37" s="562" t="s">
        <v>372</v>
      </c>
      <c r="J37" s="562"/>
      <c r="K37" s="5">
        <v>0</v>
      </c>
      <c r="L37" s="14">
        <v>0</v>
      </c>
      <c r="M37" s="13">
        <f t="shared" si="4"/>
        <v>0</v>
      </c>
      <c r="N37" s="91">
        <v>0</v>
      </c>
    </row>
    <row r="38" spans="1:14" ht="24.75" customHeight="1">
      <c r="A38" s="391"/>
      <c r="B38" s="47"/>
      <c r="C38" s="29"/>
      <c r="D38" s="29"/>
      <c r="E38" s="29"/>
      <c r="F38" s="29"/>
      <c r="G38" s="29"/>
      <c r="H38" s="5"/>
      <c r="I38" s="14" t="s">
        <v>398</v>
      </c>
      <c r="J38" s="14" t="s">
        <v>399</v>
      </c>
      <c r="K38" s="14">
        <v>0</v>
      </c>
      <c r="L38" s="14">
        <v>0</v>
      </c>
      <c r="M38" s="13">
        <f>L38-K38</f>
        <v>0</v>
      </c>
      <c r="N38" s="91">
        <v>0</v>
      </c>
    </row>
    <row r="39" spans="1:14" ht="24.75" customHeight="1">
      <c r="A39" s="391"/>
      <c r="B39" s="47"/>
      <c r="C39" s="29"/>
      <c r="D39" s="29"/>
      <c r="E39" s="29"/>
      <c r="F39" s="29"/>
      <c r="G39" s="29"/>
      <c r="H39" s="29" t="s">
        <v>760</v>
      </c>
      <c r="I39" s="551" t="s">
        <v>11</v>
      </c>
      <c r="J39" s="534"/>
      <c r="K39" s="36"/>
      <c r="L39" s="14">
        <f>SUM(L40)</f>
        <v>1474</v>
      </c>
      <c r="M39" s="13">
        <f>L39-K39</f>
        <v>1474</v>
      </c>
      <c r="N39" s="87">
        <v>0</v>
      </c>
    </row>
    <row r="40" spans="1:14" ht="24.75" customHeight="1" thickBot="1">
      <c r="A40" s="118"/>
      <c r="B40" s="115"/>
      <c r="C40" s="37"/>
      <c r="D40" s="37"/>
      <c r="E40" s="37"/>
      <c r="F40" s="37"/>
      <c r="G40" s="37"/>
      <c r="H40" s="62"/>
      <c r="I40" s="37" t="s">
        <v>38</v>
      </c>
      <c r="J40" s="37" t="s">
        <v>39</v>
      </c>
      <c r="K40" s="37">
        <v>0</v>
      </c>
      <c r="L40" s="37">
        <v>1474</v>
      </c>
      <c r="M40" s="115">
        <f>L40-K40</f>
        <v>1474</v>
      </c>
      <c r="N40" s="117">
        <v>0</v>
      </c>
    </row>
  </sheetData>
  <mergeCells count="39">
    <mergeCell ref="I39:J39"/>
    <mergeCell ref="I26:J26"/>
    <mergeCell ref="I31:J31"/>
    <mergeCell ref="I37:J37"/>
    <mergeCell ref="J24:J25"/>
    <mergeCell ref="K24:K25"/>
    <mergeCell ref="L24:L25"/>
    <mergeCell ref="M24:N24"/>
    <mergeCell ref="A23:G23"/>
    <mergeCell ref="H23:N23"/>
    <mergeCell ref="A24:A25"/>
    <mergeCell ref="B24:B25"/>
    <mergeCell ref="C24:C25"/>
    <mergeCell ref="D24:D25"/>
    <mergeCell ref="E24:E25"/>
    <mergeCell ref="F24:G24"/>
    <mergeCell ref="H24:H25"/>
    <mergeCell ref="I24:I25"/>
    <mergeCell ref="A6:C6"/>
    <mergeCell ref="H6:J6"/>
    <mergeCell ref="B7:C7"/>
    <mergeCell ref="I7:J7"/>
    <mergeCell ref="I9:I16"/>
    <mergeCell ref="I18:I22"/>
    <mergeCell ref="M4:N4"/>
    <mergeCell ref="I4:I5"/>
    <mergeCell ref="J4:J5"/>
    <mergeCell ref="K4:K5"/>
    <mergeCell ref="L4:L5"/>
    <mergeCell ref="A1:N1"/>
    <mergeCell ref="A3:G3"/>
    <mergeCell ref="H3:N3"/>
    <mergeCell ref="A4:A5"/>
    <mergeCell ref="B4:B5"/>
    <mergeCell ref="C4:C5"/>
    <mergeCell ref="D4:D5"/>
    <mergeCell ref="E4:E5"/>
    <mergeCell ref="F4:G4"/>
    <mergeCell ref="H4:H5"/>
  </mergeCells>
  <printOptions/>
  <pageMargins left="0.15748031496062992" right="0.15748031496062992" top="0.5905511811023623" bottom="0.5905511811023623" header="0" footer="0"/>
  <pageSetup horizontalDpi="300" verticalDpi="300" orientation="landscape" paperSize="9" r:id="rId1"/>
  <ignoredErrors>
    <ignoredError sqref="K26 L31:L3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446"/>
  <sheetViews>
    <sheetView tabSelected="1" zoomScale="75" zoomScaleNormal="75" workbookViewId="0" topLeftCell="A165">
      <selection activeCell="G193" sqref="G193"/>
    </sheetView>
  </sheetViews>
  <sheetFormatPr defaultColWidth="8.88671875" defaultRowHeight="13.5"/>
  <cols>
    <col min="1" max="1" width="8.10546875" style="0" customWidth="1"/>
    <col min="2" max="2" width="15.4453125" style="0" customWidth="1"/>
    <col min="3" max="3" width="13.77734375" style="0" customWidth="1"/>
    <col min="4" max="4" width="9.3359375" style="0" customWidth="1"/>
    <col min="5" max="5" width="9.88671875" style="0" customWidth="1"/>
    <col min="6" max="6" width="8.10546875" style="0" customWidth="1"/>
    <col min="7" max="7" width="6.5546875" style="0" customWidth="1"/>
    <col min="8" max="8" width="15.3359375" style="0" customWidth="1"/>
    <col min="9" max="9" width="13.77734375" style="0" customWidth="1"/>
    <col min="10" max="10" width="9.4453125" style="0" customWidth="1"/>
    <col min="11" max="11" width="12.3359375" style="0" customWidth="1"/>
  </cols>
  <sheetData>
    <row r="1" spans="1:11" ht="23.25" customHeight="1">
      <c r="A1" s="590" t="s">
        <v>240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</row>
    <row r="2" spans="1:11" ht="17.25" customHeight="1" thickBot="1">
      <c r="A2" s="603" t="s">
        <v>41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12" customHeight="1">
      <c r="A3" s="584" t="s">
        <v>5</v>
      </c>
      <c r="B3" s="574" t="s">
        <v>6</v>
      </c>
      <c r="C3" s="574" t="s">
        <v>7</v>
      </c>
      <c r="D3" s="574" t="s">
        <v>1076</v>
      </c>
      <c r="E3" s="574" t="s">
        <v>1077</v>
      </c>
      <c r="F3" s="577" t="s">
        <v>42</v>
      </c>
      <c r="G3" s="552"/>
      <c r="H3" s="578" t="s">
        <v>43</v>
      </c>
      <c r="I3" s="598"/>
      <c r="J3" s="598"/>
      <c r="K3" s="599"/>
      <c r="L3" s="1"/>
    </row>
    <row r="4" spans="1:12" ht="12" customHeight="1" thickBot="1">
      <c r="A4" s="585"/>
      <c r="B4" s="575"/>
      <c r="C4" s="575"/>
      <c r="D4" s="575"/>
      <c r="E4" s="575"/>
      <c r="F4" s="244" t="s">
        <v>9</v>
      </c>
      <c r="G4" s="344" t="s">
        <v>44</v>
      </c>
      <c r="H4" s="600"/>
      <c r="I4" s="601"/>
      <c r="J4" s="601"/>
      <c r="K4" s="602"/>
      <c r="L4" s="1"/>
    </row>
    <row r="5" spans="1:12" ht="17.25" customHeight="1">
      <c r="A5" s="586" t="s">
        <v>495</v>
      </c>
      <c r="B5" s="560"/>
      <c r="C5" s="587"/>
      <c r="D5" s="504">
        <v>636789</v>
      </c>
      <c r="E5" s="504">
        <v>645575</v>
      </c>
      <c r="F5" s="263">
        <f>E5-D5</f>
        <v>8786</v>
      </c>
      <c r="G5" s="264">
        <f>F5*100/D5</f>
        <v>1.3797348886365814</v>
      </c>
      <c r="H5" s="265"/>
      <c r="I5" s="516"/>
      <c r="J5" s="516"/>
      <c r="K5" s="517"/>
      <c r="L5" s="1"/>
    </row>
    <row r="6" spans="1:12" ht="12" customHeight="1">
      <c r="A6" s="588" t="s">
        <v>1089</v>
      </c>
      <c r="B6" s="576"/>
      <c r="C6" s="520"/>
      <c r="D6" s="185">
        <f>SUM(D7+D195+D199+D364+D366+D368)</f>
        <v>468511</v>
      </c>
      <c r="E6" s="185">
        <f>SUM(E7+E195+E199+E364+E366+E368)</f>
        <v>479032</v>
      </c>
      <c r="F6" s="284">
        <f>E6-D6</f>
        <v>10521</v>
      </c>
      <c r="G6" s="227">
        <f>F6*100/D6</f>
        <v>2.2456249693176895</v>
      </c>
      <c r="H6" s="228"/>
      <c r="I6" s="350"/>
      <c r="J6" s="350"/>
      <c r="K6" s="132">
        <f>SUM(K7+K195+K199+K364+K366+K368)</f>
        <v>479031984.27</v>
      </c>
      <c r="L6" s="1"/>
    </row>
    <row r="7" spans="1:12" ht="12" customHeight="1">
      <c r="A7" s="217" t="s">
        <v>45</v>
      </c>
      <c r="B7" s="592" t="s">
        <v>11</v>
      </c>
      <c r="C7" s="594"/>
      <c r="D7" s="120">
        <f>SUM(D8+D82+D115+D152+D156+D183+D187)</f>
        <v>295865</v>
      </c>
      <c r="E7" s="120">
        <f>SUM(E8+E82+E115+E152+E156+E183+E187)</f>
        <v>296772</v>
      </c>
      <c r="F7" s="219">
        <f>E7-D7</f>
        <v>907</v>
      </c>
      <c r="G7" s="220">
        <f>F7*100/D7</f>
        <v>0.306558734557991</v>
      </c>
      <c r="H7" s="221"/>
      <c r="I7" s="222"/>
      <c r="J7" s="222"/>
      <c r="K7" s="125">
        <f>SUM(K8+K82+K115+K152+K156+K183+K187)</f>
        <v>296771483.27</v>
      </c>
      <c r="L7" s="1"/>
    </row>
    <row r="8" spans="1:12" ht="12" customHeight="1">
      <c r="A8" s="223"/>
      <c r="B8" s="215" t="s">
        <v>31</v>
      </c>
      <c r="C8" s="224" t="s">
        <v>13</v>
      </c>
      <c r="D8" s="225">
        <f>SUM(D9+D22+D48+D65+D67+D72+D78+D79)</f>
        <v>186590</v>
      </c>
      <c r="E8" s="225">
        <f>SUM(E9+E22+E48+E65+E67+E72+E78+E79)</f>
        <v>188638</v>
      </c>
      <c r="F8" s="226">
        <f>E8-D8</f>
        <v>2048</v>
      </c>
      <c r="G8" s="227">
        <f>F8*100/D8</f>
        <v>1.0975936545366847</v>
      </c>
      <c r="H8" s="228"/>
      <c r="I8" s="229"/>
      <c r="J8" s="229"/>
      <c r="K8" s="132">
        <f>SUM(K9+K22+K34+K48+K65+K67+K72+K78+K79)</f>
        <v>188638184.18833333</v>
      </c>
      <c r="L8" s="1"/>
    </row>
    <row r="9" spans="1:12" ht="14.25" customHeight="1">
      <c r="A9" s="230"/>
      <c r="B9" s="231"/>
      <c r="C9" s="212" t="s">
        <v>69</v>
      </c>
      <c r="D9" s="233">
        <v>71598</v>
      </c>
      <c r="E9" s="233">
        <v>74711</v>
      </c>
      <c r="F9" s="234">
        <f>E9-D9</f>
        <v>3113</v>
      </c>
      <c r="G9" s="235">
        <f>F9*100/D9</f>
        <v>4.3478868124807954</v>
      </c>
      <c r="H9" s="330" t="s">
        <v>797</v>
      </c>
      <c r="I9" s="332"/>
      <c r="J9" s="332"/>
      <c r="K9" s="408">
        <f>SUM(K10:K21)</f>
        <v>74711000</v>
      </c>
      <c r="L9" s="1"/>
    </row>
    <row r="10" spans="1:12" ht="11.25" customHeight="1">
      <c r="A10" s="230"/>
      <c r="B10" s="231"/>
      <c r="C10" s="208"/>
      <c r="D10" s="236"/>
      <c r="E10" s="236"/>
      <c r="F10" s="236"/>
      <c r="G10" s="236"/>
      <c r="H10" s="388" t="s">
        <v>798</v>
      </c>
      <c r="I10" s="409">
        <v>1452000</v>
      </c>
      <c r="J10" s="409" t="s">
        <v>799</v>
      </c>
      <c r="K10" s="410">
        <f>SUM(I10*6)</f>
        <v>8712000</v>
      </c>
      <c r="L10" s="1"/>
    </row>
    <row r="11" spans="1:12" ht="11.25" customHeight="1">
      <c r="A11" s="230"/>
      <c r="B11" s="231"/>
      <c r="C11" s="208"/>
      <c r="D11" s="236"/>
      <c r="E11" s="236"/>
      <c r="F11" s="236"/>
      <c r="G11" s="236"/>
      <c r="H11" s="381" t="s">
        <v>800</v>
      </c>
      <c r="I11" s="411">
        <v>1477000</v>
      </c>
      <c r="J11" s="411" t="s">
        <v>799</v>
      </c>
      <c r="K11" s="412">
        <f>SUM(I11*6)</f>
        <v>8862000</v>
      </c>
      <c r="L11" s="1"/>
    </row>
    <row r="12" spans="1:12" ht="11.25" customHeight="1">
      <c r="A12" s="230"/>
      <c r="B12" s="231"/>
      <c r="C12" s="208"/>
      <c r="D12" s="236"/>
      <c r="E12" s="236"/>
      <c r="F12" s="236"/>
      <c r="G12" s="236"/>
      <c r="H12" s="381" t="s">
        <v>801</v>
      </c>
      <c r="I12" s="411">
        <v>1204000</v>
      </c>
      <c r="J12" s="411" t="s">
        <v>802</v>
      </c>
      <c r="K12" s="412">
        <f>SUM(I12*12)</f>
        <v>14448000</v>
      </c>
      <c r="L12" s="1"/>
    </row>
    <row r="13" spans="1:12" ht="11.25" customHeight="1">
      <c r="A13" s="230"/>
      <c r="B13" s="231"/>
      <c r="C13" s="208"/>
      <c r="D13" s="236"/>
      <c r="E13" s="236"/>
      <c r="F13" s="236"/>
      <c r="G13" s="236"/>
      <c r="H13" s="381" t="s">
        <v>803</v>
      </c>
      <c r="I13" s="411">
        <v>907000</v>
      </c>
      <c r="J13" s="411" t="s">
        <v>799</v>
      </c>
      <c r="K13" s="412">
        <f>SUM(I13*6)</f>
        <v>5442000</v>
      </c>
      <c r="L13" s="1"/>
    </row>
    <row r="14" spans="1:12" ht="11.25" customHeight="1">
      <c r="A14" s="230"/>
      <c r="B14" s="231"/>
      <c r="C14" s="208"/>
      <c r="D14" s="236"/>
      <c r="E14" s="236"/>
      <c r="F14" s="236"/>
      <c r="G14" s="236"/>
      <c r="H14" s="381" t="s">
        <v>804</v>
      </c>
      <c r="I14" s="411">
        <v>922000</v>
      </c>
      <c r="J14" s="411" t="s">
        <v>799</v>
      </c>
      <c r="K14" s="412">
        <f>SUM(I14*6)</f>
        <v>5532000</v>
      </c>
      <c r="L14" s="1"/>
    </row>
    <row r="15" spans="1:12" ht="11.25" customHeight="1">
      <c r="A15" s="230"/>
      <c r="B15" s="231"/>
      <c r="C15" s="208"/>
      <c r="D15" s="236"/>
      <c r="E15" s="236"/>
      <c r="F15" s="236"/>
      <c r="G15" s="236"/>
      <c r="H15" s="381" t="s">
        <v>805</v>
      </c>
      <c r="I15" s="411">
        <v>870000</v>
      </c>
      <c r="J15" s="411" t="s">
        <v>806</v>
      </c>
      <c r="K15" s="412">
        <f>SUM(I15*2)</f>
        <v>1740000</v>
      </c>
      <c r="L15" s="1"/>
    </row>
    <row r="16" spans="1:12" ht="11.25" customHeight="1">
      <c r="A16" s="230"/>
      <c r="B16" s="231"/>
      <c r="C16" s="208"/>
      <c r="D16" s="236"/>
      <c r="E16" s="236"/>
      <c r="F16" s="236"/>
      <c r="G16" s="236"/>
      <c r="H16" s="381" t="s">
        <v>807</v>
      </c>
      <c r="I16" s="411">
        <v>680000</v>
      </c>
      <c r="J16" s="411" t="s">
        <v>808</v>
      </c>
      <c r="K16" s="412">
        <f>SUM(I16*4)</f>
        <v>2720000</v>
      </c>
      <c r="L16" s="1"/>
    </row>
    <row r="17" spans="1:12" ht="11.25" customHeight="1">
      <c r="A17" s="230"/>
      <c r="B17" s="231"/>
      <c r="C17" s="208"/>
      <c r="D17" s="236"/>
      <c r="E17" s="236"/>
      <c r="F17" s="236"/>
      <c r="G17" s="236"/>
      <c r="H17" s="381" t="s">
        <v>809</v>
      </c>
      <c r="I17" s="411">
        <v>695000</v>
      </c>
      <c r="J17" s="411" t="s">
        <v>799</v>
      </c>
      <c r="K17" s="412">
        <f>SUM(I17*6)</f>
        <v>4170000</v>
      </c>
      <c r="L17" s="1"/>
    </row>
    <row r="18" spans="1:12" ht="11.25" customHeight="1">
      <c r="A18" s="230"/>
      <c r="B18" s="231"/>
      <c r="C18" s="208"/>
      <c r="D18" s="236"/>
      <c r="E18" s="236"/>
      <c r="F18" s="236"/>
      <c r="G18" s="236"/>
      <c r="H18" s="381" t="s">
        <v>810</v>
      </c>
      <c r="I18" s="411">
        <v>661000</v>
      </c>
      <c r="J18" s="411" t="s">
        <v>799</v>
      </c>
      <c r="K18" s="412">
        <f>SUM(I18*6)</f>
        <v>3966000</v>
      </c>
      <c r="L18" s="1"/>
    </row>
    <row r="19" spans="1:12" ht="11.25" customHeight="1">
      <c r="A19" s="230"/>
      <c r="B19" s="231"/>
      <c r="C19" s="208"/>
      <c r="D19" s="236"/>
      <c r="E19" s="236"/>
      <c r="F19" s="236"/>
      <c r="G19" s="236"/>
      <c r="H19" s="381" t="s">
        <v>811</v>
      </c>
      <c r="I19" s="411">
        <v>680000</v>
      </c>
      <c r="J19" s="411" t="s">
        <v>799</v>
      </c>
      <c r="K19" s="412">
        <f>SUM(I19*6)</f>
        <v>4080000</v>
      </c>
      <c r="L19" s="1"/>
    </row>
    <row r="20" spans="1:12" ht="11.25" customHeight="1">
      <c r="A20" s="230"/>
      <c r="B20" s="231"/>
      <c r="C20" s="208"/>
      <c r="D20" s="236"/>
      <c r="E20" s="236"/>
      <c r="F20" s="236"/>
      <c r="G20" s="236"/>
      <c r="H20" s="381" t="s">
        <v>1097</v>
      </c>
      <c r="I20" s="411">
        <v>547000</v>
      </c>
      <c r="J20" s="411" t="s">
        <v>812</v>
      </c>
      <c r="K20" s="412">
        <f>SUM(I20*9)</f>
        <v>4923000</v>
      </c>
      <c r="L20" s="1"/>
    </row>
    <row r="21" spans="1:12" ht="11.25" customHeight="1">
      <c r="A21" s="230"/>
      <c r="B21" s="231"/>
      <c r="C21" s="238"/>
      <c r="D21" s="239"/>
      <c r="E21" s="239"/>
      <c r="F21" s="239"/>
      <c r="G21" s="239"/>
      <c r="H21" s="180" t="s">
        <v>813</v>
      </c>
      <c r="I21" s="413">
        <v>843000</v>
      </c>
      <c r="J21" s="413" t="s">
        <v>802</v>
      </c>
      <c r="K21" s="414">
        <f>SUM(I21*12)</f>
        <v>10116000</v>
      </c>
      <c r="L21" s="1"/>
    </row>
    <row r="22" spans="1:12" ht="13.5" customHeight="1">
      <c r="A22" s="230"/>
      <c r="B22" s="231"/>
      <c r="C22" s="208" t="s">
        <v>61</v>
      </c>
      <c r="D22" s="240">
        <v>34745</v>
      </c>
      <c r="E22" s="240">
        <v>35685</v>
      </c>
      <c r="F22" s="241">
        <f>E22-D22</f>
        <v>940</v>
      </c>
      <c r="G22" s="235">
        <f>F22*100/D22</f>
        <v>2.7054252410418766</v>
      </c>
      <c r="H22" s="330" t="s">
        <v>814</v>
      </c>
      <c r="I22" s="332"/>
      <c r="J22" s="332"/>
      <c r="K22" s="408">
        <f>SUM(K23:K33)</f>
        <v>24777000</v>
      </c>
      <c r="L22" s="1"/>
    </row>
    <row r="23" spans="1:12" ht="11.25" customHeight="1">
      <c r="A23" s="230"/>
      <c r="B23" s="231"/>
      <c r="C23" s="208"/>
      <c r="D23" s="236"/>
      <c r="E23" s="236"/>
      <c r="F23" s="204"/>
      <c r="G23" s="204"/>
      <c r="H23" s="388" t="s">
        <v>798</v>
      </c>
      <c r="I23" s="409">
        <v>1452000</v>
      </c>
      <c r="J23" s="409" t="s">
        <v>815</v>
      </c>
      <c r="K23" s="410">
        <f>SUM(I23*200%)</f>
        <v>2904000</v>
      </c>
      <c r="L23" s="1"/>
    </row>
    <row r="24" spans="1:12" ht="11.25" customHeight="1">
      <c r="A24" s="230"/>
      <c r="B24" s="231"/>
      <c r="C24" s="208"/>
      <c r="D24" s="236"/>
      <c r="E24" s="236"/>
      <c r="F24" s="204"/>
      <c r="G24" s="204"/>
      <c r="H24" s="381" t="s">
        <v>800</v>
      </c>
      <c r="I24" s="411">
        <v>1477000</v>
      </c>
      <c r="J24" s="411" t="s">
        <v>815</v>
      </c>
      <c r="K24" s="412">
        <f>SUM(I24*200%)</f>
        <v>2954000</v>
      </c>
      <c r="L24" s="1"/>
    </row>
    <row r="25" spans="1:12" ht="11.25" customHeight="1">
      <c r="A25" s="230"/>
      <c r="B25" s="231"/>
      <c r="C25" s="208"/>
      <c r="D25" s="236"/>
      <c r="E25" s="236"/>
      <c r="F25" s="204"/>
      <c r="G25" s="204"/>
      <c r="H25" s="381" t="s">
        <v>801</v>
      </c>
      <c r="I25" s="411">
        <v>1204000</v>
      </c>
      <c r="J25" s="411" t="s">
        <v>816</v>
      </c>
      <c r="K25" s="412">
        <f>SUM(I25*400%)</f>
        <v>4816000</v>
      </c>
      <c r="L25" s="1"/>
    </row>
    <row r="26" spans="1:12" ht="11.25" customHeight="1">
      <c r="A26" s="230"/>
      <c r="B26" s="231"/>
      <c r="C26" s="208"/>
      <c r="D26" s="236"/>
      <c r="E26" s="236"/>
      <c r="F26" s="204"/>
      <c r="G26" s="204"/>
      <c r="H26" s="381" t="s">
        <v>803</v>
      </c>
      <c r="I26" s="411">
        <v>907000</v>
      </c>
      <c r="J26" s="411" t="s">
        <v>815</v>
      </c>
      <c r="K26" s="412">
        <f aca="true" t="shared" si="0" ref="K26:K31">SUM(I26*200%)</f>
        <v>1814000</v>
      </c>
      <c r="L26" s="1"/>
    </row>
    <row r="27" spans="1:12" ht="11.25" customHeight="1">
      <c r="A27" s="230"/>
      <c r="B27" s="231"/>
      <c r="C27" s="208"/>
      <c r="D27" s="236"/>
      <c r="E27" s="236"/>
      <c r="F27" s="204"/>
      <c r="G27" s="204"/>
      <c r="H27" s="381" t="s">
        <v>804</v>
      </c>
      <c r="I27" s="411">
        <v>922000</v>
      </c>
      <c r="J27" s="411" t="s">
        <v>815</v>
      </c>
      <c r="K27" s="412">
        <f t="shared" si="0"/>
        <v>1844000</v>
      </c>
      <c r="L27" s="1"/>
    </row>
    <row r="28" spans="1:12" ht="11.25" customHeight="1">
      <c r="A28" s="230"/>
      <c r="B28" s="231"/>
      <c r="C28" s="208"/>
      <c r="D28" s="236"/>
      <c r="E28" s="236"/>
      <c r="F28" s="204"/>
      <c r="G28" s="204"/>
      <c r="H28" s="381" t="s">
        <v>817</v>
      </c>
      <c r="I28" s="411">
        <v>680000</v>
      </c>
      <c r="J28" s="411" t="s">
        <v>815</v>
      </c>
      <c r="K28" s="412">
        <f t="shared" si="0"/>
        <v>1360000</v>
      </c>
      <c r="L28" s="1"/>
    </row>
    <row r="29" spans="1:12" ht="11.25" customHeight="1">
      <c r="A29" s="230"/>
      <c r="B29" s="231"/>
      <c r="C29" s="208"/>
      <c r="D29" s="236"/>
      <c r="E29" s="236"/>
      <c r="F29" s="204"/>
      <c r="G29" s="204"/>
      <c r="H29" s="381" t="s">
        <v>809</v>
      </c>
      <c r="I29" s="411">
        <v>695000</v>
      </c>
      <c r="J29" s="411" t="s">
        <v>815</v>
      </c>
      <c r="K29" s="412">
        <f t="shared" si="0"/>
        <v>1390000</v>
      </c>
      <c r="L29" s="1"/>
    </row>
    <row r="30" spans="1:13" ht="11.25" customHeight="1">
      <c r="A30" s="230"/>
      <c r="B30" s="231"/>
      <c r="C30" s="208"/>
      <c r="D30" s="236"/>
      <c r="E30" s="236"/>
      <c r="F30" s="204"/>
      <c r="G30" s="204"/>
      <c r="H30" s="381" t="s">
        <v>818</v>
      </c>
      <c r="I30" s="411">
        <v>661000</v>
      </c>
      <c r="J30" s="411" t="s">
        <v>815</v>
      </c>
      <c r="K30" s="412">
        <f t="shared" si="0"/>
        <v>1322000</v>
      </c>
      <c r="L30" s="1"/>
      <c r="M30" s="1"/>
    </row>
    <row r="31" spans="1:13" ht="11.25" customHeight="1">
      <c r="A31" s="230"/>
      <c r="B31" s="231"/>
      <c r="C31" s="208"/>
      <c r="D31" s="236"/>
      <c r="E31" s="236"/>
      <c r="F31" s="204"/>
      <c r="G31" s="204"/>
      <c r="H31" s="381" t="s">
        <v>811</v>
      </c>
      <c r="I31" s="411">
        <v>680000</v>
      </c>
      <c r="J31" s="411" t="s">
        <v>815</v>
      </c>
      <c r="K31" s="412">
        <f t="shared" si="0"/>
        <v>1360000</v>
      </c>
      <c r="L31" s="1"/>
      <c r="M31" s="1"/>
    </row>
    <row r="32" spans="1:13" ht="11.25" customHeight="1">
      <c r="A32" s="230"/>
      <c r="B32" s="231"/>
      <c r="C32" s="208"/>
      <c r="D32" s="236"/>
      <c r="E32" s="236"/>
      <c r="F32" s="204"/>
      <c r="G32" s="204"/>
      <c r="H32" s="381" t="s">
        <v>1098</v>
      </c>
      <c r="I32" s="411">
        <v>547000</v>
      </c>
      <c r="J32" s="411" t="s">
        <v>819</v>
      </c>
      <c r="K32" s="412">
        <f>SUM(I32*300%)</f>
        <v>1641000</v>
      </c>
      <c r="L32" s="1"/>
      <c r="M32" s="1"/>
    </row>
    <row r="33" spans="1:12" ht="11.25" customHeight="1">
      <c r="A33" s="230"/>
      <c r="B33" s="231"/>
      <c r="C33" s="208"/>
      <c r="D33" s="236"/>
      <c r="E33" s="236"/>
      <c r="F33" s="204"/>
      <c r="G33" s="204"/>
      <c r="H33" s="180" t="s">
        <v>820</v>
      </c>
      <c r="I33" s="413">
        <v>843000</v>
      </c>
      <c r="J33" s="413" t="s">
        <v>816</v>
      </c>
      <c r="K33" s="414">
        <f>SUM(I33*400%)</f>
        <v>3372000</v>
      </c>
      <c r="L33" s="1"/>
    </row>
    <row r="34" spans="1:12" ht="11.25" customHeight="1">
      <c r="A34" s="230"/>
      <c r="B34" s="231"/>
      <c r="C34" s="208"/>
      <c r="D34" s="236"/>
      <c r="E34" s="236"/>
      <c r="F34" s="204"/>
      <c r="G34" s="204"/>
      <c r="H34" s="330" t="s">
        <v>821</v>
      </c>
      <c r="I34" s="332"/>
      <c r="J34" s="332"/>
      <c r="K34" s="408">
        <f>SUM(K35:K45)</f>
        <v>10908000</v>
      </c>
      <c r="L34" s="1"/>
    </row>
    <row r="35" spans="1:12" ht="11.25" customHeight="1">
      <c r="A35" s="230"/>
      <c r="B35" s="231"/>
      <c r="C35" s="208"/>
      <c r="D35" s="236"/>
      <c r="E35" s="236"/>
      <c r="F35" s="204"/>
      <c r="G35" s="204"/>
      <c r="H35" s="388" t="s">
        <v>798</v>
      </c>
      <c r="I35" s="409">
        <v>1452000</v>
      </c>
      <c r="J35" s="409" t="s">
        <v>822</v>
      </c>
      <c r="K35" s="410">
        <f>SUM(I35*100%)</f>
        <v>1452000</v>
      </c>
      <c r="L35" s="1"/>
    </row>
    <row r="36" spans="1:12" ht="11.25" customHeight="1">
      <c r="A36" s="230"/>
      <c r="B36" s="231"/>
      <c r="C36" s="208"/>
      <c r="D36" s="236"/>
      <c r="E36" s="236"/>
      <c r="F36" s="204"/>
      <c r="G36" s="204"/>
      <c r="H36" s="381" t="s">
        <v>800</v>
      </c>
      <c r="I36" s="411">
        <v>1477000</v>
      </c>
      <c r="J36" s="411" t="s">
        <v>822</v>
      </c>
      <c r="K36" s="412">
        <f>SUM(I36*100%)</f>
        <v>1477000</v>
      </c>
      <c r="L36" s="1"/>
    </row>
    <row r="37" spans="1:12" ht="11.25" customHeight="1">
      <c r="A37" s="230"/>
      <c r="B37" s="231"/>
      <c r="C37" s="208"/>
      <c r="D37" s="236"/>
      <c r="E37" s="236"/>
      <c r="F37" s="204"/>
      <c r="G37" s="204"/>
      <c r="H37" s="381" t="s">
        <v>801</v>
      </c>
      <c r="I37" s="411">
        <v>1204000</v>
      </c>
      <c r="J37" s="411" t="s">
        <v>823</v>
      </c>
      <c r="K37" s="412">
        <f>SUM(I37*100%*2)</f>
        <v>2408000</v>
      </c>
      <c r="L37" s="1"/>
    </row>
    <row r="38" spans="1:12" ht="11.25" customHeight="1">
      <c r="A38" s="230"/>
      <c r="B38" s="231"/>
      <c r="C38" s="208"/>
      <c r="D38" s="236"/>
      <c r="E38" s="236"/>
      <c r="F38" s="204"/>
      <c r="G38" s="204"/>
      <c r="H38" s="381" t="s">
        <v>803</v>
      </c>
      <c r="I38" s="411">
        <v>907000</v>
      </c>
      <c r="J38" s="411" t="s">
        <v>824</v>
      </c>
      <c r="K38" s="412">
        <f>SUM(I38*90%)</f>
        <v>816300</v>
      </c>
      <c r="L38" s="1"/>
    </row>
    <row r="39" spans="1:12" ht="11.25" customHeight="1">
      <c r="A39" s="230"/>
      <c r="B39" s="231"/>
      <c r="C39" s="208"/>
      <c r="D39" s="236"/>
      <c r="E39" s="236"/>
      <c r="F39" s="204"/>
      <c r="G39" s="204"/>
      <c r="H39" s="381" t="s">
        <v>804</v>
      </c>
      <c r="I39" s="411">
        <v>922000</v>
      </c>
      <c r="J39" s="411" t="s">
        <v>825</v>
      </c>
      <c r="K39" s="412">
        <f>SUM(I39*95%)</f>
        <v>875900</v>
      </c>
      <c r="L39" s="1"/>
    </row>
    <row r="40" spans="1:12" ht="11.25" customHeight="1">
      <c r="A40" s="230"/>
      <c r="B40" s="231"/>
      <c r="C40" s="208"/>
      <c r="D40" s="236"/>
      <c r="E40" s="236"/>
      <c r="F40" s="204"/>
      <c r="G40" s="204"/>
      <c r="H40" s="381" t="s">
        <v>805</v>
      </c>
      <c r="I40" s="411">
        <v>870000</v>
      </c>
      <c r="J40" s="411" t="s">
        <v>826</v>
      </c>
      <c r="K40" s="412">
        <f>SUM(I40*80%)</f>
        <v>696000</v>
      </c>
      <c r="L40" s="1"/>
    </row>
    <row r="41" spans="1:12" ht="11.25" customHeight="1">
      <c r="A41" s="230"/>
      <c r="B41" s="231"/>
      <c r="C41" s="208"/>
      <c r="D41" s="236"/>
      <c r="E41" s="236"/>
      <c r="F41" s="204"/>
      <c r="G41" s="204"/>
      <c r="H41" s="381" t="s">
        <v>827</v>
      </c>
      <c r="I41" s="411">
        <v>695000</v>
      </c>
      <c r="J41" s="411" t="s">
        <v>828</v>
      </c>
      <c r="K41" s="412">
        <f>SUM(I41*65%)</f>
        <v>451750</v>
      </c>
      <c r="L41" s="1"/>
    </row>
    <row r="42" spans="1:11" ht="11.25" customHeight="1">
      <c r="A42" s="230"/>
      <c r="B42" s="231"/>
      <c r="C42" s="208"/>
      <c r="D42" s="236"/>
      <c r="E42" s="236"/>
      <c r="F42" s="204"/>
      <c r="G42" s="204"/>
      <c r="H42" s="381" t="s">
        <v>810</v>
      </c>
      <c r="I42" s="411">
        <v>661000</v>
      </c>
      <c r="J42" s="411" t="s">
        <v>829</v>
      </c>
      <c r="K42" s="412">
        <f>SUM(I42*55%)</f>
        <v>363550.00000000006</v>
      </c>
    </row>
    <row r="43" spans="1:11" ht="11.25" customHeight="1">
      <c r="A43" s="230"/>
      <c r="B43" s="231"/>
      <c r="C43" s="208"/>
      <c r="D43" s="236"/>
      <c r="E43" s="236"/>
      <c r="F43" s="204"/>
      <c r="G43" s="204"/>
      <c r="H43" s="381" t="s">
        <v>811</v>
      </c>
      <c r="I43" s="411">
        <v>680000</v>
      </c>
      <c r="J43" s="411" t="s">
        <v>830</v>
      </c>
      <c r="K43" s="412">
        <f>SUM(I43*60%)</f>
        <v>408000</v>
      </c>
    </row>
    <row r="44" spans="1:11" ht="11.25" customHeight="1">
      <c r="A44" s="230"/>
      <c r="B44" s="231"/>
      <c r="C44" s="208"/>
      <c r="D44" s="236"/>
      <c r="E44" s="236"/>
      <c r="F44" s="204"/>
      <c r="G44" s="206"/>
      <c r="H44" s="381" t="s">
        <v>831</v>
      </c>
      <c r="I44" s="411">
        <v>547000</v>
      </c>
      <c r="J44" s="411" t="s">
        <v>832</v>
      </c>
      <c r="K44" s="412">
        <f>SUM(I44*50%*1)</f>
        <v>273500</v>
      </c>
    </row>
    <row r="45" spans="1:11" ht="11.25" customHeight="1" thickBot="1">
      <c r="A45" s="243"/>
      <c r="B45" s="244"/>
      <c r="C45" s="211"/>
      <c r="D45" s="245"/>
      <c r="E45" s="245"/>
      <c r="F45" s="246"/>
      <c r="G45" s="247"/>
      <c r="H45" s="379" t="s">
        <v>813</v>
      </c>
      <c r="I45" s="415">
        <v>843000</v>
      </c>
      <c r="J45" s="415" t="s">
        <v>823</v>
      </c>
      <c r="K45" s="416">
        <f>SUM(I45*100%*2)</f>
        <v>1686000</v>
      </c>
    </row>
    <row r="46" spans="1:11" ht="15.75" customHeight="1">
      <c r="A46" s="584" t="s">
        <v>5</v>
      </c>
      <c r="B46" s="574" t="s">
        <v>6</v>
      </c>
      <c r="C46" s="574" t="s">
        <v>7</v>
      </c>
      <c r="D46" s="574" t="s">
        <v>1076</v>
      </c>
      <c r="E46" s="574" t="s">
        <v>1077</v>
      </c>
      <c r="F46" s="577" t="s">
        <v>42</v>
      </c>
      <c r="G46" s="552"/>
      <c r="H46" s="578" t="s">
        <v>43</v>
      </c>
      <c r="I46" s="579"/>
      <c r="J46" s="579"/>
      <c r="K46" s="580"/>
    </row>
    <row r="47" spans="1:11" ht="15.75" customHeight="1" thickBot="1">
      <c r="A47" s="585"/>
      <c r="B47" s="575"/>
      <c r="C47" s="575"/>
      <c r="D47" s="575"/>
      <c r="E47" s="575"/>
      <c r="F47" s="518" t="s">
        <v>9</v>
      </c>
      <c r="G47" s="344" t="s">
        <v>44</v>
      </c>
      <c r="H47" s="581"/>
      <c r="I47" s="582"/>
      <c r="J47" s="582"/>
      <c r="K47" s="583"/>
    </row>
    <row r="48" spans="1:11" ht="15.75" customHeight="1">
      <c r="A48" s="248" t="s">
        <v>45</v>
      </c>
      <c r="B48" s="216" t="s">
        <v>31</v>
      </c>
      <c r="C48" s="208" t="s">
        <v>62</v>
      </c>
      <c r="D48" s="233">
        <v>37069</v>
      </c>
      <c r="E48" s="233">
        <v>37591</v>
      </c>
      <c r="F48" s="252">
        <f>E48-D48</f>
        <v>522</v>
      </c>
      <c r="G48" s="253">
        <f>F48*100/D48</f>
        <v>1.4081847365723381</v>
      </c>
      <c r="H48" s="194" t="s">
        <v>51</v>
      </c>
      <c r="I48" s="119"/>
      <c r="J48" s="249"/>
      <c r="K48" s="125">
        <f>SUM(K49:K64)</f>
        <v>37590950</v>
      </c>
    </row>
    <row r="49" spans="1:11" ht="15.75" customHeight="1">
      <c r="A49" s="230"/>
      <c r="B49" s="231"/>
      <c r="C49" s="208"/>
      <c r="D49" s="236"/>
      <c r="E49" s="236"/>
      <c r="F49" s="236"/>
      <c r="G49" s="236"/>
      <c r="H49" s="340" t="s">
        <v>497</v>
      </c>
      <c r="I49" s="341">
        <v>74711000</v>
      </c>
      <c r="J49" s="341" t="s">
        <v>52</v>
      </c>
      <c r="K49" s="309">
        <f>SUM(I49*20%)</f>
        <v>14942200</v>
      </c>
    </row>
    <row r="50" spans="1:11" ht="15.75" customHeight="1">
      <c r="A50" s="230"/>
      <c r="B50" s="231"/>
      <c r="C50" s="208"/>
      <c r="D50" s="236"/>
      <c r="E50" s="236"/>
      <c r="F50" s="236"/>
      <c r="G50" s="236"/>
      <c r="H50" s="333" t="s">
        <v>498</v>
      </c>
      <c r="I50" s="249">
        <v>20000</v>
      </c>
      <c r="J50" s="249" t="s">
        <v>602</v>
      </c>
      <c r="K50" s="254">
        <f>SUM(I50*12*7)</f>
        <v>1680000</v>
      </c>
    </row>
    <row r="51" spans="1:11" ht="15.75" customHeight="1">
      <c r="A51" s="230"/>
      <c r="B51" s="231"/>
      <c r="C51" s="208"/>
      <c r="D51" s="236"/>
      <c r="E51" s="236"/>
      <c r="F51" s="236"/>
      <c r="G51" s="236"/>
      <c r="H51" s="333" t="s">
        <v>498</v>
      </c>
      <c r="I51" s="249">
        <v>20000</v>
      </c>
      <c r="J51" s="249" t="s">
        <v>795</v>
      </c>
      <c r="K51" s="254">
        <f>SUM(I51*9*1)</f>
        <v>180000</v>
      </c>
    </row>
    <row r="52" spans="1:11" ht="15.75" customHeight="1">
      <c r="A52" s="230"/>
      <c r="B52" s="231"/>
      <c r="C52" s="208"/>
      <c r="D52" s="236"/>
      <c r="E52" s="236"/>
      <c r="F52" s="236"/>
      <c r="G52" s="236"/>
      <c r="H52" s="333" t="s">
        <v>499</v>
      </c>
      <c r="I52" s="249">
        <v>5937000</v>
      </c>
      <c r="J52" s="249" t="s">
        <v>54</v>
      </c>
      <c r="K52" s="254">
        <f>SUM(I52*50%)</f>
        <v>2968500</v>
      </c>
    </row>
    <row r="53" spans="1:11" ht="15.75" customHeight="1">
      <c r="A53" s="230"/>
      <c r="B53" s="231"/>
      <c r="C53" s="208"/>
      <c r="D53" s="236"/>
      <c r="E53" s="236"/>
      <c r="F53" s="236"/>
      <c r="G53" s="236"/>
      <c r="H53" s="333" t="s">
        <v>499</v>
      </c>
      <c r="I53" s="249">
        <v>6368000</v>
      </c>
      <c r="J53" s="249" t="s">
        <v>54</v>
      </c>
      <c r="K53" s="254">
        <f>SUM(I53*50%)</f>
        <v>3184000</v>
      </c>
    </row>
    <row r="54" spans="1:11" ht="15.75" customHeight="1">
      <c r="A54" s="230"/>
      <c r="B54" s="231"/>
      <c r="C54" s="208"/>
      <c r="D54" s="236"/>
      <c r="E54" s="236"/>
      <c r="F54" s="236"/>
      <c r="G54" s="236"/>
      <c r="H54" s="333" t="s">
        <v>500</v>
      </c>
      <c r="I54" s="249">
        <v>5937000</v>
      </c>
      <c r="J54" s="249" t="s">
        <v>55</v>
      </c>
      <c r="K54" s="254">
        <f>SUM(I54*25%)</f>
        <v>1484250</v>
      </c>
    </row>
    <row r="55" spans="1:11" ht="15.75" customHeight="1">
      <c r="A55" s="230"/>
      <c r="B55" s="231"/>
      <c r="C55" s="208"/>
      <c r="D55" s="236"/>
      <c r="E55" s="236"/>
      <c r="F55" s="236"/>
      <c r="G55" s="236"/>
      <c r="H55" s="333" t="s">
        <v>500</v>
      </c>
      <c r="I55" s="249">
        <v>6368000</v>
      </c>
      <c r="J55" s="249" t="s">
        <v>55</v>
      </c>
      <c r="K55" s="254">
        <f>SUM(I55*25%)</f>
        <v>1592000</v>
      </c>
    </row>
    <row r="56" spans="1:11" ht="15.75" customHeight="1">
      <c r="A56" s="230"/>
      <c r="B56" s="231"/>
      <c r="C56" s="208"/>
      <c r="D56" s="236"/>
      <c r="E56" s="236"/>
      <c r="F56" s="236"/>
      <c r="G56" s="236"/>
      <c r="H56" s="333" t="s">
        <v>56</v>
      </c>
      <c r="I56" s="249">
        <v>15000</v>
      </c>
      <c r="J56" s="249" t="s">
        <v>58</v>
      </c>
      <c r="K56" s="254">
        <f>SUM(I56*12*12)</f>
        <v>2160000</v>
      </c>
    </row>
    <row r="57" spans="1:11" ht="15.75" customHeight="1">
      <c r="A57" s="230"/>
      <c r="B57" s="231"/>
      <c r="C57" s="208"/>
      <c r="D57" s="236"/>
      <c r="E57" s="236"/>
      <c r="F57" s="236"/>
      <c r="G57" s="236"/>
      <c r="H57" s="333" t="s">
        <v>57</v>
      </c>
      <c r="I57" s="249">
        <v>50000</v>
      </c>
      <c r="J57" s="249" t="s">
        <v>791</v>
      </c>
      <c r="K57" s="254">
        <f>SUM(I57*2*2)</f>
        <v>200000</v>
      </c>
    </row>
    <row r="58" spans="1:11" ht="15.75" customHeight="1">
      <c r="A58" s="230"/>
      <c r="B58" s="231"/>
      <c r="C58" s="208"/>
      <c r="D58" s="236"/>
      <c r="E58" s="236"/>
      <c r="F58" s="236"/>
      <c r="G58" s="236"/>
      <c r="H58" s="333" t="s">
        <v>57</v>
      </c>
      <c r="I58" s="249">
        <v>50000</v>
      </c>
      <c r="J58" s="249" t="s">
        <v>793</v>
      </c>
      <c r="K58" s="254">
        <f>SUM(I58*1*10)</f>
        <v>500000</v>
      </c>
    </row>
    <row r="59" spans="1:11" ht="15.75" customHeight="1">
      <c r="A59" s="230"/>
      <c r="B59" s="231"/>
      <c r="C59" s="208"/>
      <c r="D59" s="236"/>
      <c r="E59" s="236"/>
      <c r="F59" s="204"/>
      <c r="G59" s="204"/>
      <c r="H59" s="333" t="s">
        <v>57</v>
      </c>
      <c r="I59" s="249">
        <v>70000</v>
      </c>
      <c r="J59" s="249" t="s">
        <v>59</v>
      </c>
      <c r="K59" s="254">
        <f>SUM(I59*2*12)</f>
        <v>1680000</v>
      </c>
    </row>
    <row r="60" spans="1:11" ht="15.75" customHeight="1">
      <c r="A60" s="230"/>
      <c r="B60" s="231"/>
      <c r="C60" s="208"/>
      <c r="D60" s="236"/>
      <c r="E60" s="236"/>
      <c r="F60" s="204"/>
      <c r="G60" s="204"/>
      <c r="H60" s="333" t="s">
        <v>57</v>
      </c>
      <c r="I60" s="249">
        <v>100000</v>
      </c>
      <c r="J60" s="249" t="s">
        <v>60</v>
      </c>
      <c r="K60" s="254">
        <f>SUM(I60*1*12)</f>
        <v>1200000</v>
      </c>
    </row>
    <row r="61" spans="1:11" ht="15.75" customHeight="1">
      <c r="A61" s="230"/>
      <c r="B61" s="231"/>
      <c r="C61" s="208"/>
      <c r="D61" s="236"/>
      <c r="E61" s="236"/>
      <c r="F61" s="204"/>
      <c r="G61" s="204"/>
      <c r="H61" s="333" t="s">
        <v>501</v>
      </c>
      <c r="I61" s="249">
        <v>350000</v>
      </c>
      <c r="J61" s="249" t="s">
        <v>60</v>
      </c>
      <c r="K61" s="254">
        <f>SUM(I61*1*12)</f>
        <v>4200000</v>
      </c>
    </row>
    <row r="62" spans="1:11" ht="15.75" customHeight="1">
      <c r="A62" s="230"/>
      <c r="B62" s="231"/>
      <c r="C62" s="208"/>
      <c r="D62" s="236"/>
      <c r="E62" s="236"/>
      <c r="F62" s="204"/>
      <c r="G62" s="204"/>
      <c r="H62" s="333" t="s">
        <v>501</v>
      </c>
      <c r="I62" s="249">
        <v>100000</v>
      </c>
      <c r="J62" s="249" t="s">
        <v>60</v>
      </c>
      <c r="K62" s="254">
        <f>SUM(I62*1*12)</f>
        <v>1200000</v>
      </c>
    </row>
    <row r="63" spans="1:11" ht="15.75" customHeight="1">
      <c r="A63" s="230"/>
      <c r="B63" s="231"/>
      <c r="C63" s="311"/>
      <c r="D63" s="236"/>
      <c r="E63" s="236"/>
      <c r="F63" s="204"/>
      <c r="G63" s="204"/>
      <c r="H63" s="333" t="s">
        <v>501</v>
      </c>
      <c r="I63" s="249">
        <v>30000</v>
      </c>
      <c r="J63" s="249" t="s">
        <v>791</v>
      </c>
      <c r="K63" s="254">
        <f>SUM(I63*2*2)</f>
        <v>120000</v>
      </c>
    </row>
    <row r="64" spans="1:11" ht="15.75" customHeight="1">
      <c r="A64" s="230"/>
      <c r="B64" s="231"/>
      <c r="C64" s="250"/>
      <c r="D64" s="239"/>
      <c r="E64" s="239"/>
      <c r="F64" s="251"/>
      <c r="G64" s="251"/>
      <c r="H64" s="194" t="s">
        <v>501</v>
      </c>
      <c r="I64" s="119">
        <v>30000</v>
      </c>
      <c r="J64" s="119" t="s">
        <v>793</v>
      </c>
      <c r="K64" s="125">
        <f>SUM(I64*1*10)</f>
        <v>300000</v>
      </c>
    </row>
    <row r="65" spans="1:11" ht="15.75" customHeight="1">
      <c r="A65" s="230"/>
      <c r="B65" s="231"/>
      <c r="C65" s="212" t="s">
        <v>70</v>
      </c>
      <c r="D65" s="236">
        <v>13031</v>
      </c>
      <c r="E65" s="236">
        <v>12467</v>
      </c>
      <c r="F65" s="252">
        <f>E65-D65</f>
        <v>-564</v>
      </c>
      <c r="G65" s="253">
        <f>F65*100/D65</f>
        <v>-4.328140587829023</v>
      </c>
      <c r="H65" s="333" t="s">
        <v>65</v>
      </c>
      <c r="I65" s="249">
        <f>SUM(K9+K22+K34+K48+K74+K76+K79)</f>
        <v>149606950</v>
      </c>
      <c r="J65" s="249" t="s">
        <v>63</v>
      </c>
      <c r="K65" s="254">
        <f>SUM(I65*1/12)</f>
        <v>12467245.833333334</v>
      </c>
    </row>
    <row r="66" spans="1:11" ht="15.75" customHeight="1">
      <c r="A66" s="230"/>
      <c r="B66" s="231"/>
      <c r="C66" s="238" t="s">
        <v>71</v>
      </c>
      <c r="D66" s="239"/>
      <c r="E66" s="239"/>
      <c r="F66" s="251"/>
      <c r="G66" s="251"/>
      <c r="H66" s="194"/>
      <c r="I66" s="119"/>
      <c r="J66" s="119"/>
      <c r="K66" s="125"/>
    </row>
    <row r="67" spans="1:11" ht="15.75" customHeight="1">
      <c r="A67" s="230"/>
      <c r="B67" s="231"/>
      <c r="C67" s="208" t="s">
        <v>72</v>
      </c>
      <c r="D67" s="236">
        <v>15387</v>
      </c>
      <c r="E67" s="236">
        <v>11804</v>
      </c>
      <c r="F67" s="252">
        <f>E67-D67</f>
        <v>-3583</v>
      </c>
      <c r="G67" s="253">
        <f>F67*100/D67</f>
        <v>-23.285890686943524</v>
      </c>
      <c r="H67" s="242" t="s">
        <v>66</v>
      </c>
      <c r="I67" s="193"/>
      <c r="J67" s="193"/>
      <c r="K67" s="132">
        <f>SUM(K68+K69+K70+K71)</f>
        <v>11803988.355</v>
      </c>
    </row>
    <row r="68" spans="1:11" ht="15.75" customHeight="1">
      <c r="A68" s="230"/>
      <c r="B68" s="231"/>
      <c r="C68" s="208"/>
      <c r="D68" s="236"/>
      <c r="E68" s="236"/>
      <c r="F68" s="204"/>
      <c r="G68" s="204"/>
      <c r="H68" s="340" t="s">
        <v>64</v>
      </c>
      <c r="I68" s="341">
        <f>SUM(K9+K22+K34+K48+K74+K76+K79)</f>
        <v>149606950</v>
      </c>
      <c r="J68" s="341" t="s">
        <v>777</v>
      </c>
      <c r="K68" s="309">
        <f>SUM(I68*2.24%)</f>
        <v>3351195.6800000006</v>
      </c>
    </row>
    <row r="69" spans="1:11" ht="15.75" customHeight="1">
      <c r="A69" s="230"/>
      <c r="B69" s="231"/>
      <c r="C69" s="208"/>
      <c r="D69" s="236"/>
      <c r="E69" s="236"/>
      <c r="F69" s="204"/>
      <c r="G69" s="204"/>
      <c r="H69" s="333" t="s">
        <v>502</v>
      </c>
      <c r="I69" s="249">
        <f>SUM(K9+K22+K34+K48+K74+K76+K79)</f>
        <v>149606950</v>
      </c>
      <c r="J69" s="249" t="s">
        <v>224</v>
      </c>
      <c r="K69" s="254">
        <f>SUM(I69*4.5%)</f>
        <v>6732312.75</v>
      </c>
    </row>
    <row r="70" spans="1:11" ht="15.75" customHeight="1">
      <c r="A70" s="230"/>
      <c r="B70" s="231"/>
      <c r="C70" s="208"/>
      <c r="D70" s="236"/>
      <c r="E70" s="236"/>
      <c r="F70" s="204"/>
      <c r="G70" s="204"/>
      <c r="H70" s="333" t="s">
        <v>503</v>
      </c>
      <c r="I70" s="249">
        <f>SUM(K9+K22+K34+K48+K74+K76+K79)</f>
        <v>149606950</v>
      </c>
      <c r="J70" s="249" t="s">
        <v>640</v>
      </c>
      <c r="K70" s="254">
        <f>SUM(I70*0.7%)</f>
        <v>1047248.6499999999</v>
      </c>
    </row>
    <row r="71" spans="1:11" ht="15.75" customHeight="1">
      <c r="A71" s="230"/>
      <c r="B71" s="231"/>
      <c r="C71" s="238"/>
      <c r="D71" s="239"/>
      <c r="E71" s="239"/>
      <c r="F71" s="251"/>
      <c r="G71" s="251"/>
      <c r="H71" s="194" t="s">
        <v>220</v>
      </c>
      <c r="I71" s="119">
        <f>SUM(K9+K22+K34+K48+K74+K76+K79)</f>
        <v>149606950</v>
      </c>
      <c r="J71" s="119" t="s">
        <v>781</v>
      </c>
      <c r="K71" s="125">
        <f>SUM(I71*0.45%)</f>
        <v>673231.275</v>
      </c>
    </row>
    <row r="72" spans="1:11" ht="15.75" customHeight="1">
      <c r="A72" s="230"/>
      <c r="B72" s="231"/>
      <c r="C72" s="208" t="s">
        <v>73</v>
      </c>
      <c r="D72" s="236">
        <v>7560</v>
      </c>
      <c r="E72" s="236">
        <v>8280</v>
      </c>
      <c r="F72" s="252">
        <f>E72-D72</f>
        <v>720</v>
      </c>
      <c r="G72" s="253">
        <f>F72*100/D72</f>
        <v>9.523809523809524</v>
      </c>
      <c r="H72" s="242" t="s">
        <v>504</v>
      </c>
      <c r="I72" s="193"/>
      <c r="J72" s="193"/>
      <c r="K72" s="132">
        <f>SUM(K73:K77)</f>
        <v>8280000</v>
      </c>
    </row>
    <row r="73" spans="1:11" ht="15.75" customHeight="1">
      <c r="A73" s="230"/>
      <c r="B73" s="231"/>
      <c r="C73" s="208"/>
      <c r="D73" s="236"/>
      <c r="E73" s="236"/>
      <c r="F73" s="252"/>
      <c r="G73" s="253"/>
      <c r="H73" s="340" t="s">
        <v>505</v>
      </c>
      <c r="I73" s="341">
        <v>50000</v>
      </c>
      <c r="J73" s="341" t="s">
        <v>796</v>
      </c>
      <c r="K73" s="309">
        <f>SUM(I73*6*12)</f>
        <v>3600000</v>
      </c>
    </row>
    <row r="74" spans="1:11" ht="15.75" customHeight="1">
      <c r="A74" s="230"/>
      <c r="B74" s="231"/>
      <c r="C74" s="208"/>
      <c r="D74" s="236"/>
      <c r="E74" s="236"/>
      <c r="F74" s="204"/>
      <c r="G74" s="204"/>
      <c r="H74" s="333" t="s">
        <v>505</v>
      </c>
      <c r="I74" s="249">
        <v>50000</v>
      </c>
      <c r="J74" s="249" t="s">
        <v>776</v>
      </c>
      <c r="K74" s="254">
        <f>SUM(I74*1*9)</f>
        <v>450000</v>
      </c>
    </row>
    <row r="75" spans="1:11" ht="15.75" customHeight="1">
      <c r="A75" s="230"/>
      <c r="B75" s="231"/>
      <c r="C75" s="208"/>
      <c r="D75" s="236"/>
      <c r="E75" s="236"/>
      <c r="F75" s="204"/>
      <c r="G75" s="204"/>
      <c r="H75" s="333" t="s">
        <v>506</v>
      </c>
      <c r="I75" s="249">
        <v>30000</v>
      </c>
      <c r="J75" s="249" t="s">
        <v>796</v>
      </c>
      <c r="K75" s="254">
        <f>SUM(I75*6*12)</f>
        <v>2160000</v>
      </c>
    </row>
    <row r="76" spans="1:11" ht="15.75" customHeight="1">
      <c r="A76" s="230"/>
      <c r="B76" s="231"/>
      <c r="C76" s="208"/>
      <c r="D76" s="236"/>
      <c r="E76" s="236"/>
      <c r="F76" s="204"/>
      <c r="G76" s="204"/>
      <c r="H76" s="333" t="s">
        <v>506</v>
      </c>
      <c r="I76" s="249">
        <v>30000</v>
      </c>
      <c r="J76" s="249" t="s">
        <v>776</v>
      </c>
      <c r="K76" s="254">
        <f>SUM(I76*1*9)</f>
        <v>270000</v>
      </c>
    </row>
    <row r="77" spans="1:11" ht="15.75" customHeight="1">
      <c r="A77" s="230"/>
      <c r="B77" s="255"/>
      <c r="C77" s="256"/>
      <c r="D77" s="239"/>
      <c r="E77" s="239"/>
      <c r="F77" s="251"/>
      <c r="G77" s="257"/>
      <c r="H77" s="194" t="s">
        <v>507</v>
      </c>
      <c r="I77" s="119">
        <v>150000</v>
      </c>
      <c r="J77" s="119" t="s">
        <v>53</v>
      </c>
      <c r="K77" s="125">
        <f>SUM(I77*12)</f>
        <v>1800000</v>
      </c>
    </row>
    <row r="78" spans="1:11" ht="15.75" customHeight="1">
      <c r="A78" s="230"/>
      <c r="B78" s="255"/>
      <c r="C78" s="212" t="s">
        <v>270</v>
      </c>
      <c r="D78" s="232">
        <v>7200</v>
      </c>
      <c r="E78" s="232">
        <v>8100</v>
      </c>
      <c r="F78" s="241">
        <f>E78-D78</f>
        <v>900</v>
      </c>
      <c r="G78" s="235">
        <f>F78*100/D78</f>
        <v>12.5</v>
      </c>
      <c r="H78" s="340" t="s">
        <v>67</v>
      </c>
      <c r="I78" s="341">
        <v>100000</v>
      </c>
      <c r="J78" s="341" t="s">
        <v>796</v>
      </c>
      <c r="K78" s="309">
        <f>SUM(I78*6*12)</f>
        <v>7200000</v>
      </c>
    </row>
    <row r="79" spans="1:11" ht="15.75" customHeight="1" thickBot="1">
      <c r="A79" s="243"/>
      <c r="B79" s="244"/>
      <c r="C79" s="211"/>
      <c r="D79" s="245"/>
      <c r="E79" s="245"/>
      <c r="F79" s="258"/>
      <c r="G79" s="259"/>
      <c r="H79" s="282" t="s">
        <v>67</v>
      </c>
      <c r="I79" s="260">
        <v>100000</v>
      </c>
      <c r="J79" s="260" t="s">
        <v>776</v>
      </c>
      <c r="K79" s="272">
        <f>SUM(I79*1*9)</f>
        <v>900000</v>
      </c>
    </row>
    <row r="80" spans="1:11" ht="19.5" customHeight="1">
      <c r="A80" s="584" t="s">
        <v>5</v>
      </c>
      <c r="B80" s="574" t="s">
        <v>6</v>
      </c>
      <c r="C80" s="574" t="s">
        <v>7</v>
      </c>
      <c r="D80" s="574" t="s">
        <v>1076</v>
      </c>
      <c r="E80" s="574" t="s">
        <v>1077</v>
      </c>
      <c r="F80" s="577" t="s">
        <v>42</v>
      </c>
      <c r="G80" s="552"/>
      <c r="H80" s="578" t="s">
        <v>43</v>
      </c>
      <c r="I80" s="579"/>
      <c r="J80" s="579"/>
      <c r="K80" s="580"/>
    </row>
    <row r="81" spans="1:11" ht="20.25" customHeight="1" thickBot="1">
      <c r="A81" s="585"/>
      <c r="B81" s="575"/>
      <c r="C81" s="575"/>
      <c r="D81" s="575"/>
      <c r="E81" s="575"/>
      <c r="F81" s="518" t="s">
        <v>9</v>
      </c>
      <c r="G81" s="344" t="s">
        <v>44</v>
      </c>
      <c r="H81" s="581"/>
      <c r="I81" s="582"/>
      <c r="J81" s="582"/>
      <c r="K81" s="583"/>
    </row>
    <row r="82" spans="1:11" ht="21" customHeight="1">
      <c r="A82" s="248" t="s">
        <v>45</v>
      </c>
      <c r="B82" s="320" t="s">
        <v>75</v>
      </c>
      <c r="C82" s="276" t="s">
        <v>13</v>
      </c>
      <c r="D82" s="279">
        <f>SUM(D83+D86+D92+D102+D104+D109+D112)</f>
        <v>20870</v>
      </c>
      <c r="E82" s="279">
        <f>SUM(E83+E86+E92+E102+E104+E109+E112)</f>
        <v>20526</v>
      </c>
      <c r="F82" s="280">
        <f>E82-D82</f>
        <v>-344</v>
      </c>
      <c r="G82" s="220">
        <f>F82*100/D82</f>
        <v>-1.6482989937709631</v>
      </c>
      <c r="H82" s="221"/>
      <c r="I82" s="281"/>
      <c r="J82" s="281"/>
      <c r="K82" s="521">
        <f>SUM(K83+K86+K89+K92+K102+K104+K109+K112)</f>
        <v>20525563.671666667</v>
      </c>
    </row>
    <row r="83" spans="1:11" ht="18.75" customHeight="1">
      <c r="A83" s="230"/>
      <c r="B83" s="266"/>
      <c r="C83" s="208" t="s">
        <v>69</v>
      </c>
      <c r="D83" s="267">
        <v>8448</v>
      </c>
      <c r="E83" s="267">
        <v>8448</v>
      </c>
      <c r="F83" s="252">
        <f>E83-D83</f>
        <v>0</v>
      </c>
      <c r="G83" s="236"/>
      <c r="H83" s="242" t="s">
        <v>46</v>
      </c>
      <c r="I83" s="193"/>
      <c r="J83" s="193"/>
      <c r="K83" s="132">
        <f>SUM(K84+K85)</f>
        <v>8448000</v>
      </c>
    </row>
    <row r="84" spans="1:11" ht="15" customHeight="1">
      <c r="A84" s="230"/>
      <c r="B84" s="266"/>
      <c r="C84" s="208"/>
      <c r="D84" s="236"/>
      <c r="E84" s="236"/>
      <c r="F84" s="236"/>
      <c r="G84" s="236"/>
      <c r="H84" s="340" t="s">
        <v>76</v>
      </c>
      <c r="I84" s="341">
        <v>695000</v>
      </c>
      <c r="J84" s="341" t="s">
        <v>81</v>
      </c>
      <c r="K84" s="309">
        <f>SUM(I84*6)</f>
        <v>4170000</v>
      </c>
    </row>
    <row r="85" spans="1:11" ht="15" customHeight="1">
      <c r="A85" s="230"/>
      <c r="B85" s="266"/>
      <c r="C85" s="238"/>
      <c r="D85" s="239"/>
      <c r="E85" s="239"/>
      <c r="F85" s="239"/>
      <c r="G85" s="239"/>
      <c r="H85" s="194" t="s">
        <v>77</v>
      </c>
      <c r="I85" s="119">
        <v>713000</v>
      </c>
      <c r="J85" s="119" t="s">
        <v>81</v>
      </c>
      <c r="K85" s="125">
        <f>SUM(I85*6)</f>
        <v>4278000</v>
      </c>
    </row>
    <row r="86" spans="1:11" ht="17.25" customHeight="1">
      <c r="A86" s="230"/>
      <c r="B86" s="266"/>
      <c r="C86" s="208" t="s">
        <v>61</v>
      </c>
      <c r="D86" s="236">
        <v>3766</v>
      </c>
      <c r="E86" s="236">
        <v>3766</v>
      </c>
      <c r="F86" s="252">
        <f>E86-D86</f>
        <v>0</v>
      </c>
      <c r="G86" s="253">
        <f>F86*100/D86</f>
        <v>0</v>
      </c>
      <c r="H86" s="242" t="s">
        <v>47</v>
      </c>
      <c r="I86" s="193"/>
      <c r="J86" s="193"/>
      <c r="K86" s="132">
        <f>SUM(K87+K88)</f>
        <v>2816000</v>
      </c>
    </row>
    <row r="87" spans="1:11" ht="15" customHeight="1">
      <c r="A87" s="230"/>
      <c r="B87" s="266"/>
      <c r="C87" s="208"/>
      <c r="D87" s="236"/>
      <c r="E87" s="236"/>
      <c r="F87" s="204"/>
      <c r="G87" s="204"/>
      <c r="H87" s="340" t="s">
        <v>76</v>
      </c>
      <c r="I87" s="341">
        <v>695000</v>
      </c>
      <c r="J87" s="341" t="s">
        <v>48</v>
      </c>
      <c r="K87" s="309">
        <f>SUM(I87*200%)</f>
        <v>1390000</v>
      </c>
    </row>
    <row r="88" spans="1:11" ht="15" customHeight="1">
      <c r="A88" s="230"/>
      <c r="B88" s="266"/>
      <c r="C88" s="208"/>
      <c r="D88" s="236"/>
      <c r="E88" s="236"/>
      <c r="F88" s="204"/>
      <c r="G88" s="204"/>
      <c r="H88" s="194" t="s">
        <v>77</v>
      </c>
      <c r="I88" s="119">
        <v>713000</v>
      </c>
      <c r="J88" s="119" t="s">
        <v>48</v>
      </c>
      <c r="K88" s="125">
        <f>SUM(I88*200%)</f>
        <v>1426000</v>
      </c>
    </row>
    <row r="89" spans="1:11" ht="18" customHeight="1">
      <c r="A89" s="230"/>
      <c r="B89" s="266"/>
      <c r="C89" s="208"/>
      <c r="D89" s="236"/>
      <c r="E89" s="236"/>
      <c r="F89" s="204"/>
      <c r="G89" s="204"/>
      <c r="H89" s="242" t="s">
        <v>496</v>
      </c>
      <c r="I89" s="193"/>
      <c r="J89" s="193"/>
      <c r="K89" s="132">
        <f>SUM(K90+K91)</f>
        <v>950850</v>
      </c>
    </row>
    <row r="90" spans="1:11" ht="15" customHeight="1">
      <c r="A90" s="230"/>
      <c r="B90" s="266"/>
      <c r="C90" s="208"/>
      <c r="D90" s="236"/>
      <c r="E90" s="236"/>
      <c r="F90" s="204"/>
      <c r="G90" s="204"/>
      <c r="H90" s="340" t="s">
        <v>76</v>
      </c>
      <c r="I90" s="341">
        <v>695000</v>
      </c>
      <c r="J90" s="341" t="s">
        <v>78</v>
      </c>
      <c r="K90" s="309">
        <f>SUM(I90*65%)</f>
        <v>451750</v>
      </c>
    </row>
    <row r="91" spans="1:11" ht="15" customHeight="1">
      <c r="A91" s="230"/>
      <c r="B91" s="266"/>
      <c r="C91" s="238"/>
      <c r="D91" s="239"/>
      <c r="E91" s="239"/>
      <c r="F91" s="251"/>
      <c r="G91" s="251"/>
      <c r="H91" s="194" t="s">
        <v>77</v>
      </c>
      <c r="I91" s="119">
        <v>713000</v>
      </c>
      <c r="J91" s="119" t="s">
        <v>79</v>
      </c>
      <c r="K91" s="125">
        <f>SUM(I91*70%)</f>
        <v>499099.99999999994</v>
      </c>
    </row>
    <row r="92" spans="1:11" ht="21" customHeight="1">
      <c r="A92" s="268"/>
      <c r="B92" s="269"/>
      <c r="C92" s="208" t="s">
        <v>62</v>
      </c>
      <c r="D92" s="267">
        <v>3286</v>
      </c>
      <c r="E92" s="267">
        <v>3286</v>
      </c>
      <c r="F92" s="252">
        <f>E92-D92</f>
        <v>0</v>
      </c>
      <c r="G92" s="253">
        <f>F92*100/D92</f>
        <v>0</v>
      </c>
      <c r="H92" s="194" t="s">
        <v>51</v>
      </c>
      <c r="I92" s="119"/>
      <c r="J92" s="249"/>
      <c r="K92" s="125">
        <f>SUM(K93+K94+K95+K96+K97+K98+K99+K100+K101)</f>
        <v>3285600</v>
      </c>
    </row>
    <row r="93" spans="1:11" ht="15" customHeight="1">
      <c r="A93" s="268"/>
      <c r="B93" s="269"/>
      <c r="C93" s="208"/>
      <c r="D93" s="236"/>
      <c r="E93" s="236"/>
      <c r="F93" s="236"/>
      <c r="G93" s="236"/>
      <c r="H93" s="340" t="s">
        <v>497</v>
      </c>
      <c r="I93" s="341">
        <v>8448000</v>
      </c>
      <c r="J93" s="341" t="s">
        <v>52</v>
      </c>
      <c r="K93" s="309">
        <f>SUM(I93*20%)</f>
        <v>1689600</v>
      </c>
    </row>
    <row r="94" spans="1:11" ht="15" customHeight="1">
      <c r="A94" s="268"/>
      <c r="B94" s="269"/>
      <c r="C94" s="208"/>
      <c r="D94" s="236"/>
      <c r="E94" s="236"/>
      <c r="F94" s="236"/>
      <c r="G94" s="236"/>
      <c r="H94" s="333" t="s">
        <v>498</v>
      </c>
      <c r="I94" s="249">
        <v>20000</v>
      </c>
      <c r="J94" s="249" t="s">
        <v>80</v>
      </c>
      <c r="K94" s="254">
        <f>SUM(I94*12*1)</f>
        <v>240000</v>
      </c>
    </row>
    <row r="95" spans="1:11" ht="15" customHeight="1">
      <c r="A95" s="268"/>
      <c r="B95" s="269"/>
      <c r="C95" s="208"/>
      <c r="D95" s="236"/>
      <c r="E95" s="236"/>
      <c r="F95" s="236"/>
      <c r="G95" s="236"/>
      <c r="H95" s="333" t="s">
        <v>499</v>
      </c>
      <c r="I95" s="249">
        <v>695000</v>
      </c>
      <c r="J95" s="249" t="s">
        <v>54</v>
      </c>
      <c r="K95" s="254">
        <f>SUM(I95*50%)</f>
        <v>347500</v>
      </c>
    </row>
    <row r="96" spans="1:11" ht="15" customHeight="1">
      <c r="A96" s="268"/>
      <c r="B96" s="269"/>
      <c r="C96" s="208"/>
      <c r="D96" s="236"/>
      <c r="E96" s="236"/>
      <c r="F96" s="236"/>
      <c r="G96" s="236"/>
      <c r="H96" s="333" t="s">
        <v>499</v>
      </c>
      <c r="I96" s="249">
        <v>713000</v>
      </c>
      <c r="J96" s="249" t="s">
        <v>54</v>
      </c>
      <c r="K96" s="254">
        <f>SUM(I96*50%)</f>
        <v>356500</v>
      </c>
    </row>
    <row r="97" spans="1:11" ht="15" customHeight="1">
      <c r="A97" s="268"/>
      <c r="B97" s="269"/>
      <c r="C97" s="208"/>
      <c r="D97" s="236"/>
      <c r="E97" s="236"/>
      <c r="F97" s="236"/>
      <c r="G97" s="236"/>
      <c r="H97" s="333" t="s">
        <v>500</v>
      </c>
      <c r="I97" s="249">
        <v>695000</v>
      </c>
      <c r="J97" s="249" t="s">
        <v>55</v>
      </c>
      <c r="K97" s="254">
        <f>SUM(I97*25%)</f>
        <v>173750</v>
      </c>
    </row>
    <row r="98" spans="1:11" ht="15" customHeight="1">
      <c r="A98" s="268"/>
      <c r="B98" s="269"/>
      <c r="C98" s="208"/>
      <c r="D98" s="236"/>
      <c r="E98" s="236"/>
      <c r="F98" s="236"/>
      <c r="G98" s="236"/>
      <c r="H98" s="333" t="s">
        <v>500</v>
      </c>
      <c r="I98" s="249">
        <v>713000</v>
      </c>
      <c r="J98" s="249" t="s">
        <v>55</v>
      </c>
      <c r="K98" s="254">
        <f>SUM(I98*25%)</f>
        <v>178250</v>
      </c>
    </row>
    <row r="99" spans="1:11" ht="15" customHeight="1">
      <c r="A99" s="268"/>
      <c r="B99" s="269"/>
      <c r="C99" s="208"/>
      <c r="D99" s="236"/>
      <c r="E99" s="236"/>
      <c r="F99" s="236"/>
      <c r="G99" s="236"/>
      <c r="H99" s="333" t="s">
        <v>56</v>
      </c>
      <c r="I99" s="249"/>
      <c r="J99" s="249"/>
      <c r="K99" s="254">
        <f>SUM(I99*12*12)</f>
        <v>0</v>
      </c>
    </row>
    <row r="100" spans="1:11" ht="15" customHeight="1">
      <c r="A100" s="268"/>
      <c r="B100" s="269"/>
      <c r="C100" s="208"/>
      <c r="D100" s="236"/>
      <c r="E100" s="236"/>
      <c r="F100" s="236"/>
      <c r="G100" s="236"/>
      <c r="H100" s="333" t="s">
        <v>57</v>
      </c>
      <c r="I100" s="249">
        <v>50000</v>
      </c>
      <c r="J100" s="249" t="s">
        <v>81</v>
      </c>
      <c r="K100" s="254">
        <f>SUM(I100*6)</f>
        <v>300000</v>
      </c>
    </row>
    <row r="101" spans="1:11" ht="15" customHeight="1">
      <c r="A101" s="268"/>
      <c r="B101" s="269"/>
      <c r="C101" s="238"/>
      <c r="D101" s="239"/>
      <c r="E101" s="239"/>
      <c r="F101" s="251"/>
      <c r="G101" s="251"/>
      <c r="H101" s="194" t="s">
        <v>501</v>
      </c>
      <c r="I101" s="119"/>
      <c r="J101" s="119"/>
      <c r="K101" s="125">
        <f>SUM(I101*1*12)</f>
        <v>0</v>
      </c>
    </row>
    <row r="102" spans="1:11" ht="15" customHeight="1">
      <c r="A102" s="268"/>
      <c r="B102" s="269"/>
      <c r="C102" s="208" t="s">
        <v>70</v>
      </c>
      <c r="D102" s="236">
        <v>1472</v>
      </c>
      <c r="E102" s="236">
        <v>1472</v>
      </c>
      <c r="F102" s="252">
        <f>E102-D102</f>
        <v>0</v>
      </c>
      <c r="G102" s="253">
        <f>F102*100/D102</f>
        <v>0</v>
      </c>
      <c r="H102" s="333" t="s">
        <v>65</v>
      </c>
      <c r="I102" s="249">
        <f>SUM(K83+K86+K89+K92+K110+K111+K112)</f>
        <v>17660450</v>
      </c>
      <c r="J102" s="249" t="s">
        <v>63</v>
      </c>
      <c r="K102" s="254">
        <f>SUM(I102*1/12)</f>
        <v>1471704.1666666667</v>
      </c>
    </row>
    <row r="103" spans="1:11" ht="15" customHeight="1">
      <c r="A103" s="268"/>
      <c r="B103" s="269"/>
      <c r="C103" s="238" t="s">
        <v>71</v>
      </c>
      <c r="D103" s="239"/>
      <c r="E103" s="239"/>
      <c r="F103" s="251"/>
      <c r="G103" s="251"/>
      <c r="H103" s="194"/>
      <c r="I103" s="119"/>
      <c r="J103" s="119"/>
      <c r="K103" s="125"/>
    </row>
    <row r="104" spans="1:11" ht="20.25" customHeight="1">
      <c r="A104" s="268"/>
      <c r="B104" s="269"/>
      <c r="C104" s="208" t="s">
        <v>72</v>
      </c>
      <c r="D104" s="236">
        <v>1738</v>
      </c>
      <c r="E104" s="236">
        <v>1394</v>
      </c>
      <c r="F104" s="252">
        <f>E104-D104</f>
        <v>-344</v>
      </c>
      <c r="G104" s="253">
        <f>F104*100/D104</f>
        <v>-19.792865362485614</v>
      </c>
      <c r="H104" s="242" t="s">
        <v>66</v>
      </c>
      <c r="I104" s="193"/>
      <c r="J104" s="193"/>
      <c r="K104" s="132">
        <f>SUM(K105+K106+K107+K108)</f>
        <v>1393409.505</v>
      </c>
    </row>
    <row r="105" spans="1:11" ht="15" customHeight="1">
      <c r="A105" s="268"/>
      <c r="B105" s="269"/>
      <c r="C105" s="208"/>
      <c r="D105" s="236"/>
      <c r="E105" s="236"/>
      <c r="F105" s="204"/>
      <c r="G105" s="204"/>
      <c r="H105" s="340" t="s">
        <v>64</v>
      </c>
      <c r="I105" s="341">
        <v>17660450</v>
      </c>
      <c r="J105" s="341" t="s">
        <v>777</v>
      </c>
      <c r="K105" s="309">
        <f>SUM(I105*2.24%)</f>
        <v>395594.0800000001</v>
      </c>
    </row>
    <row r="106" spans="1:11" ht="15" customHeight="1">
      <c r="A106" s="268"/>
      <c r="B106" s="269"/>
      <c r="C106" s="208"/>
      <c r="D106" s="236"/>
      <c r="E106" s="236"/>
      <c r="F106" s="204"/>
      <c r="G106" s="204"/>
      <c r="H106" s="333" t="s">
        <v>502</v>
      </c>
      <c r="I106" s="249">
        <v>17660450</v>
      </c>
      <c r="J106" s="249" t="s">
        <v>224</v>
      </c>
      <c r="K106" s="254">
        <f>SUM(I106*4.5%)</f>
        <v>794720.25</v>
      </c>
    </row>
    <row r="107" spans="1:11" ht="15" customHeight="1">
      <c r="A107" s="268"/>
      <c r="B107" s="269"/>
      <c r="C107" s="208"/>
      <c r="D107" s="236"/>
      <c r="E107" s="236"/>
      <c r="F107" s="204"/>
      <c r="G107" s="204"/>
      <c r="H107" s="333" t="s">
        <v>503</v>
      </c>
      <c r="I107" s="249">
        <v>17660450</v>
      </c>
      <c r="J107" s="249" t="s">
        <v>640</v>
      </c>
      <c r="K107" s="254">
        <f>SUM(I107*0.7%)</f>
        <v>123623.15</v>
      </c>
    </row>
    <row r="108" spans="1:11" ht="15" customHeight="1">
      <c r="A108" s="268"/>
      <c r="B108" s="269"/>
      <c r="C108" s="238"/>
      <c r="D108" s="239"/>
      <c r="E108" s="239"/>
      <c r="F108" s="251"/>
      <c r="G108" s="251"/>
      <c r="H108" s="194" t="s">
        <v>220</v>
      </c>
      <c r="I108" s="119">
        <v>17660450</v>
      </c>
      <c r="J108" s="119" t="s">
        <v>781</v>
      </c>
      <c r="K108" s="125">
        <f>SUM(I108*0.45%)</f>
        <v>79472.02500000001</v>
      </c>
    </row>
    <row r="109" spans="1:11" ht="18" customHeight="1">
      <c r="A109" s="268"/>
      <c r="B109" s="269"/>
      <c r="C109" s="208" t="s">
        <v>73</v>
      </c>
      <c r="D109" s="236">
        <v>960</v>
      </c>
      <c r="E109" s="236">
        <v>960</v>
      </c>
      <c r="F109" s="252">
        <f>E109-D109</f>
        <v>0</v>
      </c>
      <c r="G109" s="253">
        <f>F109*100/D109</f>
        <v>0</v>
      </c>
      <c r="H109" s="242" t="s">
        <v>504</v>
      </c>
      <c r="I109" s="193"/>
      <c r="J109" s="193"/>
      <c r="K109" s="132">
        <f>SUM(K110+K111)</f>
        <v>960000</v>
      </c>
    </row>
    <row r="110" spans="1:11" ht="15" customHeight="1">
      <c r="A110" s="268"/>
      <c r="B110" s="269"/>
      <c r="C110" s="208"/>
      <c r="D110" s="236"/>
      <c r="E110" s="236"/>
      <c r="F110" s="204"/>
      <c r="G110" s="204"/>
      <c r="H110" s="340" t="s">
        <v>505</v>
      </c>
      <c r="I110" s="341">
        <v>50000</v>
      </c>
      <c r="J110" s="341" t="s">
        <v>60</v>
      </c>
      <c r="K110" s="309">
        <f>SUM(I110*1*12)</f>
        <v>600000</v>
      </c>
    </row>
    <row r="111" spans="1:11" ht="15" customHeight="1">
      <c r="A111" s="268"/>
      <c r="B111" s="269"/>
      <c r="C111" s="238"/>
      <c r="D111" s="239"/>
      <c r="E111" s="239"/>
      <c r="F111" s="251"/>
      <c r="G111" s="251"/>
      <c r="H111" s="194" t="s">
        <v>506</v>
      </c>
      <c r="I111" s="119">
        <v>30000</v>
      </c>
      <c r="J111" s="119" t="s">
        <v>60</v>
      </c>
      <c r="K111" s="125">
        <f>SUM(I111*1*12)</f>
        <v>360000</v>
      </c>
    </row>
    <row r="112" spans="1:11" ht="18.75" customHeight="1" thickBot="1">
      <c r="A112" s="270"/>
      <c r="B112" s="271"/>
      <c r="C112" s="211" t="s">
        <v>270</v>
      </c>
      <c r="D112" s="245">
        <v>1200</v>
      </c>
      <c r="E112" s="245">
        <v>1200</v>
      </c>
      <c r="F112" s="258">
        <f>E112-D112</f>
        <v>0</v>
      </c>
      <c r="G112" s="259">
        <f>F112*100/D112</f>
        <v>0</v>
      </c>
      <c r="H112" s="282" t="s">
        <v>67</v>
      </c>
      <c r="I112" s="260">
        <v>100000</v>
      </c>
      <c r="J112" s="260" t="s">
        <v>60</v>
      </c>
      <c r="K112" s="272">
        <f>SUM(I112*1*12)</f>
        <v>1200000</v>
      </c>
    </row>
    <row r="113" spans="1:11" ht="15.75" customHeight="1">
      <c r="A113" s="584" t="s">
        <v>5</v>
      </c>
      <c r="B113" s="574" t="s">
        <v>6</v>
      </c>
      <c r="C113" s="574" t="s">
        <v>7</v>
      </c>
      <c r="D113" s="574" t="s">
        <v>1076</v>
      </c>
      <c r="E113" s="574" t="s">
        <v>1077</v>
      </c>
      <c r="F113" s="577" t="s">
        <v>42</v>
      </c>
      <c r="G113" s="552"/>
      <c r="H113" s="578" t="s">
        <v>43</v>
      </c>
      <c r="I113" s="579"/>
      <c r="J113" s="579"/>
      <c r="K113" s="580"/>
    </row>
    <row r="114" spans="1:11" ht="18.75" customHeight="1" thickBot="1">
      <c r="A114" s="585"/>
      <c r="B114" s="575"/>
      <c r="C114" s="575"/>
      <c r="D114" s="575"/>
      <c r="E114" s="575"/>
      <c r="F114" s="518" t="s">
        <v>9</v>
      </c>
      <c r="G114" s="344" t="s">
        <v>44</v>
      </c>
      <c r="H114" s="581"/>
      <c r="I114" s="582"/>
      <c r="J114" s="582"/>
      <c r="K114" s="583"/>
    </row>
    <row r="115" spans="1:11" ht="19.5" customHeight="1">
      <c r="A115" s="248" t="s">
        <v>45</v>
      </c>
      <c r="B115" s="320" t="s">
        <v>82</v>
      </c>
      <c r="C115" s="276" t="s">
        <v>13</v>
      </c>
      <c r="D115" s="279">
        <f>SUM(D116+D119+D125+D128+D139+D141+D146+D149)</f>
        <v>30568</v>
      </c>
      <c r="E115" s="279">
        <f>SUM(E116+E119+E125+E128+E139+E141+E146+E149)</f>
        <v>29297</v>
      </c>
      <c r="F115" s="280">
        <f>E115-D115</f>
        <v>-1271</v>
      </c>
      <c r="G115" s="220">
        <f>F115*100/D115</f>
        <v>-4.157942946872547</v>
      </c>
      <c r="H115" s="221"/>
      <c r="I115" s="281"/>
      <c r="J115" s="281"/>
      <c r="K115" s="521">
        <f>SUM(K116+K119+K122+K125+K128+K139+K141+K146+K149)</f>
        <v>29296299.41</v>
      </c>
    </row>
    <row r="116" spans="1:11" ht="17.25" customHeight="1">
      <c r="A116" s="230"/>
      <c r="B116" s="266"/>
      <c r="C116" s="208" t="s">
        <v>69</v>
      </c>
      <c r="D116" s="267">
        <v>8556</v>
      </c>
      <c r="E116" s="267">
        <v>8556</v>
      </c>
      <c r="F116" s="252">
        <f>E116-D116</f>
        <v>0</v>
      </c>
      <c r="G116" s="253">
        <f>F116*100/D116</f>
        <v>0</v>
      </c>
      <c r="H116" s="242" t="s">
        <v>46</v>
      </c>
      <c r="I116" s="193"/>
      <c r="J116" s="193"/>
      <c r="K116" s="132">
        <f>SUM(K117+K118)</f>
        <v>8556000</v>
      </c>
    </row>
    <row r="117" spans="1:11" ht="12.75" customHeight="1">
      <c r="A117" s="230"/>
      <c r="B117" s="266"/>
      <c r="C117" s="208"/>
      <c r="D117" s="236"/>
      <c r="E117" s="236"/>
      <c r="F117" s="236"/>
      <c r="G117" s="236"/>
      <c r="H117" s="340" t="s">
        <v>83</v>
      </c>
      <c r="I117" s="341">
        <v>713000</v>
      </c>
      <c r="J117" s="341" t="s">
        <v>53</v>
      </c>
      <c r="K117" s="309">
        <f>SUM(I117*12)</f>
        <v>8556000</v>
      </c>
    </row>
    <row r="118" spans="1:11" ht="12.75" customHeight="1">
      <c r="A118" s="230"/>
      <c r="B118" s="266"/>
      <c r="C118" s="238"/>
      <c r="D118" s="239"/>
      <c r="E118" s="239"/>
      <c r="F118" s="239"/>
      <c r="G118" s="239"/>
      <c r="H118" s="194"/>
      <c r="I118" s="119"/>
      <c r="J118" s="119"/>
      <c r="K118" s="125">
        <f>SUM(I118*6)</f>
        <v>0</v>
      </c>
    </row>
    <row r="119" spans="1:11" ht="18" customHeight="1">
      <c r="A119" s="230"/>
      <c r="B119" s="266"/>
      <c r="C119" s="208" t="s">
        <v>61</v>
      </c>
      <c r="D119" s="236">
        <v>3850</v>
      </c>
      <c r="E119" s="236">
        <v>3850</v>
      </c>
      <c r="F119" s="252">
        <f>E119-D119</f>
        <v>0</v>
      </c>
      <c r="G119" s="253">
        <f>F119*100/D119</f>
        <v>0</v>
      </c>
      <c r="H119" s="242" t="s">
        <v>47</v>
      </c>
      <c r="I119" s="193"/>
      <c r="J119" s="193"/>
      <c r="K119" s="132">
        <f>SUM(K120+K121)</f>
        <v>2852000</v>
      </c>
    </row>
    <row r="120" spans="1:11" ht="12.75" customHeight="1">
      <c r="A120" s="230"/>
      <c r="B120" s="266"/>
      <c r="C120" s="208"/>
      <c r="D120" s="236"/>
      <c r="E120" s="236"/>
      <c r="F120" s="204"/>
      <c r="G120" s="204"/>
      <c r="H120" s="340" t="s">
        <v>83</v>
      </c>
      <c r="I120" s="341">
        <v>713000</v>
      </c>
      <c r="J120" s="341" t="s">
        <v>49</v>
      </c>
      <c r="K120" s="309">
        <f>SUM(I120*400%)</f>
        <v>2852000</v>
      </c>
    </row>
    <row r="121" spans="1:11" ht="12.75" customHeight="1">
      <c r="A121" s="230"/>
      <c r="B121" s="266"/>
      <c r="C121" s="208"/>
      <c r="D121" s="236"/>
      <c r="E121" s="236"/>
      <c r="F121" s="204"/>
      <c r="G121" s="204"/>
      <c r="H121" s="194"/>
      <c r="I121" s="119"/>
      <c r="J121" s="119"/>
      <c r="K121" s="125">
        <f>SUM(I121*200%)</f>
        <v>0</v>
      </c>
    </row>
    <row r="122" spans="1:11" ht="16.5" customHeight="1">
      <c r="A122" s="230"/>
      <c r="B122" s="266"/>
      <c r="C122" s="208"/>
      <c r="D122" s="236"/>
      <c r="E122" s="236"/>
      <c r="F122" s="204"/>
      <c r="G122" s="204"/>
      <c r="H122" s="242" t="s">
        <v>496</v>
      </c>
      <c r="I122" s="193"/>
      <c r="J122" s="193"/>
      <c r="K122" s="132">
        <f>SUM(K123+K124)</f>
        <v>998199.9999999999</v>
      </c>
    </row>
    <row r="123" spans="1:11" ht="12.75" customHeight="1">
      <c r="A123" s="230"/>
      <c r="B123" s="266"/>
      <c r="C123" s="208"/>
      <c r="D123" s="236"/>
      <c r="E123" s="236"/>
      <c r="F123" s="204"/>
      <c r="G123" s="204"/>
      <c r="H123" s="340" t="s">
        <v>83</v>
      </c>
      <c r="I123" s="341">
        <v>713000</v>
      </c>
      <c r="J123" s="341" t="s">
        <v>84</v>
      </c>
      <c r="K123" s="309">
        <f>SUM(I123*70%*2)</f>
        <v>998199.9999999999</v>
      </c>
    </row>
    <row r="124" spans="1:11" ht="12.75" customHeight="1">
      <c r="A124" s="230"/>
      <c r="B124" s="266"/>
      <c r="C124" s="238"/>
      <c r="D124" s="239"/>
      <c r="E124" s="239"/>
      <c r="F124" s="251"/>
      <c r="G124" s="251"/>
      <c r="H124" s="194"/>
      <c r="I124" s="119"/>
      <c r="J124" s="119"/>
      <c r="K124" s="125">
        <f>SUM(I124*70%)</f>
        <v>0</v>
      </c>
    </row>
    <row r="125" spans="1:11" ht="22.5" customHeight="1">
      <c r="A125" s="230"/>
      <c r="B125" s="273"/>
      <c r="C125" s="208" t="s">
        <v>508</v>
      </c>
      <c r="D125" s="236">
        <v>7920</v>
      </c>
      <c r="E125" s="236">
        <v>7260</v>
      </c>
      <c r="F125" s="252">
        <f>E125-D125</f>
        <v>-660</v>
      </c>
      <c r="G125" s="253">
        <v>0</v>
      </c>
      <c r="H125" s="242" t="s">
        <v>509</v>
      </c>
      <c r="I125" s="193"/>
      <c r="J125" s="193"/>
      <c r="K125" s="132">
        <f>SUM(K126:K127)</f>
        <v>7260000</v>
      </c>
    </row>
    <row r="126" spans="1:11" ht="22.5" customHeight="1">
      <c r="A126" s="230"/>
      <c r="B126" s="273"/>
      <c r="C126" s="208"/>
      <c r="D126" s="236"/>
      <c r="E126" s="236"/>
      <c r="F126" s="252"/>
      <c r="G126" s="253"/>
      <c r="H126" s="340" t="s">
        <v>85</v>
      </c>
      <c r="I126" s="341">
        <v>660000</v>
      </c>
      <c r="J126" s="341" t="s">
        <v>647</v>
      </c>
      <c r="K126" s="309">
        <f>SUM(I126*1)</f>
        <v>660000</v>
      </c>
    </row>
    <row r="127" spans="1:11" ht="18.75" customHeight="1">
      <c r="A127" s="230"/>
      <c r="B127" s="273"/>
      <c r="C127" s="238"/>
      <c r="D127" s="239"/>
      <c r="E127" s="239"/>
      <c r="F127" s="251"/>
      <c r="G127" s="251"/>
      <c r="H127" s="194" t="s">
        <v>85</v>
      </c>
      <c r="I127" s="119">
        <v>600000</v>
      </c>
      <c r="J127" s="119" t="s">
        <v>833</v>
      </c>
      <c r="K127" s="125">
        <f>SUM(I127*11)</f>
        <v>6600000</v>
      </c>
    </row>
    <row r="128" spans="1:11" ht="19.5" customHeight="1">
      <c r="A128" s="268"/>
      <c r="B128" s="269"/>
      <c r="C128" s="208" t="s">
        <v>62</v>
      </c>
      <c r="D128" s="267">
        <v>3381</v>
      </c>
      <c r="E128" s="267">
        <v>3381</v>
      </c>
      <c r="F128" s="252">
        <f>E128-D128</f>
        <v>0</v>
      </c>
      <c r="G128" s="253">
        <f>F128*100/D128</f>
        <v>0</v>
      </c>
      <c r="H128" s="194" t="s">
        <v>51</v>
      </c>
      <c r="I128" s="119"/>
      <c r="J128" s="249"/>
      <c r="K128" s="125">
        <f>SUM(K129+K130+K131+K132+K133+K134+K135+K137+K138)</f>
        <v>3380700</v>
      </c>
    </row>
    <row r="129" spans="1:11" ht="12.75" customHeight="1">
      <c r="A129" s="268"/>
      <c r="B129" s="269"/>
      <c r="C129" s="208"/>
      <c r="D129" s="236"/>
      <c r="E129" s="236"/>
      <c r="F129" s="236"/>
      <c r="G129" s="236"/>
      <c r="H129" s="340" t="s">
        <v>497</v>
      </c>
      <c r="I129" s="341">
        <v>8556000</v>
      </c>
      <c r="J129" s="341" t="s">
        <v>52</v>
      </c>
      <c r="K129" s="309">
        <f>SUM(I129*20%)</f>
        <v>1711200</v>
      </c>
    </row>
    <row r="130" spans="1:11" ht="12.75" customHeight="1">
      <c r="A130" s="268"/>
      <c r="B130" s="269"/>
      <c r="C130" s="208"/>
      <c r="D130" s="236"/>
      <c r="E130" s="236"/>
      <c r="F130" s="236"/>
      <c r="G130" s="236"/>
      <c r="H130" s="333" t="s">
        <v>498</v>
      </c>
      <c r="I130" s="249">
        <v>20000</v>
      </c>
      <c r="J130" s="249" t="s">
        <v>80</v>
      </c>
      <c r="K130" s="254">
        <f>SUM(I130*12*1)</f>
        <v>240000</v>
      </c>
    </row>
    <row r="131" spans="1:11" ht="12.75" customHeight="1">
      <c r="A131" s="268"/>
      <c r="B131" s="269"/>
      <c r="C131" s="208"/>
      <c r="D131" s="236"/>
      <c r="E131" s="236"/>
      <c r="F131" s="236"/>
      <c r="G131" s="236"/>
      <c r="H131" s="333" t="s">
        <v>499</v>
      </c>
      <c r="I131" s="249">
        <v>713000</v>
      </c>
      <c r="J131" s="249" t="s">
        <v>86</v>
      </c>
      <c r="K131" s="254">
        <f>SUM(I131*50%*2)</f>
        <v>713000</v>
      </c>
    </row>
    <row r="132" spans="1:11" ht="12.75" customHeight="1">
      <c r="A132" s="268"/>
      <c r="B132" s="269"/>
      <c r="C132" s="208"/>
      <c r="D132" s="236"/>
      <c r="E132" s="236"/>
      <c r="F132" s="236"/>
      <c r="G132" s="236"/>
      <c r="H132" s="333"/>
      <c r="I132" s="249"/>
      <c r="J132" s="249"/>
      <c r="K132" s="254">
        <f>SUM(I132*50%)</f>
        <v>0</v>
      </c>
    </row>
    <row r="133" spans="1:11" ht="12.75" customHeight="1">
      <c r="A133" s="268"/>
      <c r="B133" s="269"/>
      <c r="C133" s="208"/>
      <c r="D133" s="236"/>
      <c r="E133" s="236"/>
      <c r="F133" s="236"/>
      <c r="G133" s="236"/>
      <c r="H133" s="333" t="s">
        <v>500</v>
      </c>
      <c r="I133" s="249">
        <v>713000</v>
      </c>
      <c r="J133" s="249" t="s">
        <v>87</v>
      </c>
      <c r="K133" s="254">
        <f>SUM(I133*25%*2)</f>
        <v>356500</v>
      </c>
    </row>
    <row r="134" spans="1:11" ht="12.75" customHeight="1">
      <c r="A134" s="268"/>
      <c r="B134" s="269"/>
      <c r="C134" s="208"/>
      <c r="D134" s="236"/>
      <c r="E134" s="236"/>
      <c r="F134" s="236"/>
      <c r="G134" s="236"/>
      <c r="H134" s="333"/>
      <c r="I134" s="249"/>
      <c r="J134" s="249"/>
      <c r="K134" s="254">
        <f>SUM(I134*25%)</f>
        <v>0</v>
      </c>
    </row>
    <row r="135" spans="1:11" ht="12.75" customHeight="1">
      <c r="A135" s="268"/>
      <c r="B135" s="269"/>
      <c r="C135" s="208"/>
      <c r="D135" s="236"/>
      <c r="E135" s="236"/>
      <c r="F135" s="236"/>
      <c r="G135" s="236"/>
      <c r="H135" s="333" t="s">
        <v>56</v>
      </c>
      <c r="I135" s="249">
        <v>15000</v>
      </c>
      <c r="J135" s="249" t="s">
        <v>59</v>
      </c>
      <c r="K135" s="254">
        <f>SUM(I135*2*12)</f>
        <v>360000</v>
      </c>
    </row>
    <row r="136" spans="1:11" ht="12.75" customHeight="1">
      <c r="A136" s="268"/>
      <c r="B136" s="269"/>
      <c r="C136" s="208"/>
      <c r="D136" s="236"/>
      <c r="E136" s="236"/>
      <c r="F136" s="236"/>
      <c r="G136" s="236"/>
      <c r="H136" s="333"/>
      <c r="I136" s="249"/>
      <c r="J136" s="249"/>
      <c r="K136" s="254"/>
    </row>
    <row r="137" spans="1:11" ht="12.75" customHeight="1">
      <c r="A137" s="268"/>
      <c r="B137" s="269"/>
      <c r="C137" s="208"/>
      <c r="D137" s="236"/>
      <c r="E137" s="236"/>
      <c r="F137" s="236"/>
      <c r="G137" s="236"/>
      <c r="H137" s="333"/>
      <c r="I137" s="249"/>
      <c r="J137" s="249"/>
      <c r="K137" s="254">
        <f>SUM(I137*6)</f>
        <v>0</v>
      </c>
    </row>
    <row r="138" spans="1:11" ht="12.75" customHeight="1">
      <c r="A138" s="268"/>
      <c r="B138" s="269"/>
      <c r="C138" s="238"/>
      <c r="D138" s="239"/>
      <c r="E138" s="239"/>
      <c r="F138" s="251"/>
      <c r="G138" s="251"/>
      <c r="H138" s="194"/>
      <c r="I138" s="119"/>
      <c r="J138" s="119"/>
      <c r="K138" s="125">
        <f>SUM(I138*1*12)</f>
        <v>0</v>
      </c>
    </row>
    <row r="139" spans="1:11" ht="15.75" customHeight="1">
      <c r="A139" s="268"/>
      <c r="B139" s="269"/>
      <c r="C139" s="208" t="s">
        <v>70</v>
      </c>
      <c r="D139" s="236">
        <v>2156</v>
      </c>
      <c r="E139" s="236">
        <v>2101</v>
      </c>
      <c r="F139" s="252">
        <f>E139-D139</f>
        <v>-55</v>
      </c>
      <c r="G139" s="253">
        <f>F139*100/D139</f>
        <v>-2.5510204081632653</v>
      </c>
      <c r="H139" s="333" t="s">
        <v>65</v>
      </c>
      <c r="I139" s="249">
        <f>SUM(K116+K119+K122+K125+K128+K147+K148+K149)</f>
        <v>25206900</v>
      </c>
      <c r="J139" s="249" t="s">
        <v>63</v>
      </c>
      <c r="K139" s="254">
        <f>SUM(I139*1/12)</f>
        <v>2100575</v>
      </c>
    </row>
    <row r="140" spans="1:11" ht="12.75" customHeight="1">
      <c r="A140" s="268"/>
      <c r="B140" s="269"/>
      <c r="C140" s="238" t="s">
        <v>71</v>
      </c>
      <c r="D140" s="239"/>
      <c r="E140" s="239"/>
      <c r="F140" s="251"/>
      <c r="G140" s="251"/>
      <c r="H140" s="194"/>
      <c r="I140" s="119"/>
      <c r="J140" s="119"/>
      <c r="K140" s="125"/>
    </row>
    <row r="141" spans="1:11" ht="18" customHeight="1">
      <c r="A141" s="268"/>
      <c r="B141" s="269"/>
      <c r="C141" s="208" t="s">
        <v>72</v>
      </c>
      <c r="D141" s="236">
        <v>2545</v>
      </c>
      <c r="E141" s="236">
        <v>1989</v>
      </c>
      <c r="F141" s="252">
        <f>E141-D141</f>
        <v>-556</v>
      </c>
      <c r="G141" s="253">
        <f>F141*100/D141</f>
        <v>-21.846758349705304</v>
      </c>
      <c r="H141" s="242" t="s">
        <v>66</v>
      </c>
      <c r="I141" s="193"/>
      <c r="J141" s="193"/>
      <c r="K141" s="132">
        <f>SUM(K142+K143+K144+K145)</f>
        <v>1988824.4100000001</v>
      </c>
    </row>
    <row r="142" spans="1:11" ht="12.75" customHeight="1">
      <c r="A142" s="268"/>
      <c r="B142" s="269"/>
      <c r="C142" s="208"/>
      <c r="D142" s="236"/>
      <c r="E142" s="236"/>
      <c r="F142" s="204"/>
      <c r="G142" s="204"/>
      <c r="H142" s="340" t="s">
        <v>64</v>
      </c>
      <c r="I142" s="341">
        <v>25206900</v>
      </c>
      <c r="J142" s="341" t="s">
        <v>777</v>
      </c>
      <c r="K142" s="309">
        <f>SUM(I142*2.24%)</f>
        <v>564634.56</v>
      </c>
    </row>
    <row r="143" spans="1:11" ht="12.75" customHeight="1">
      <c r="A143" s="268"/>
      <c r="B143" s="269"/>
      <c r="C143" s="208"/>
      <c r="D143" s="236"/>
      <c r="E143" s="236"/>
      <c r="F143" s="204"/>
      <c r="G143" s="204"/>
      <c r="H143" s="333" t="s">
        <v>502</v>
      </c>
      <c r="I143" s="249">
        <v>25206900</v>
      </c>
      <c r="J143" s="249" t="s">
        <v>224</v>
      </c>
      <c r="K143" s="254">
        <f>SUM(I143*4.5%)</f>
        <v>1134310.5</v>
      </c>
    </row>
    <row r="144" spans="1:11" ht="12.75" customHeight="1">
      <c r="A144" s="268"/>
      <c r="B144" s="269"/>
      <c r="C144" s="208"/>
      <c r="D144" s="236"/>
      <c r="E144" s="236"/>
      <c r="F144" s="204"/>
      <c r="G144" s="204"/>
      <c r="H144" s="333" t="s">
        <v>503</v>
      </c>
      <c r="I144" s="249">
        <v>25206900</v>
      </c>
      <c r="J144" s="249" t="s">
        <v>640</v>
      </c>
      <c r="K144" s="254">
        <f>SUM(I144*0.7%)</f>
        <v>176448.3</v>
      </c>
    </row>
    <row r="145" spans="1:11" ht="12.75" customHeight="1">
      <c r="A145" s="268"/>
      <c r="B145" s="269"/>
      <c r="C145" s="238"/>
      <c r="D145" s="239"/>
      <c r="E145" s="239"/>
      <c r="F145" s="251"/>
      <c r="G145" s="251"/>
      <c r="H145" s="194" t="s">
        <v>220</v>
      </c>
      <c r="I145" s="119">
        <v>25206900</v>
      </c>
      <c r="J145" s="119" t="s">
        <v>781</v>
      </c>
      <c r="K145" s="125">
        <f>SUM(I145*0.45%)</f>
        <v>113431.05000000002</v>
      </c>
    </row>
    <row r="146" spans="1:11" ht="18" customHeight="1">
      <c r="A146" s="268"/>
      <c r="B146" s="269"/>
      <c r="C146" s="208" t="s">
        <v>73</v>
      </c>
      <c r="D146" s="236">
        <v>960</v>
      </c>
      <c r="E146" s="236">
        <v>960</v>
      </c>
      <c r="F146" s="252">
        <f>E146-D146</f>
        <v>0</v>
      </c>
      <c r="G146" s="253">
        <f>F146*100/D146</f>
        <v>0</v>
      </c>
      <c r="H146" s="242" t="s">
        <v>504</v>
      </c>
      <c r="I146" s="193"/>
      <c r="J146" s="193"/>
      <c r="K146" s="132">
        <f>SUM(K147+K148)</f>
        <v>960000</v>
      </c>
    </row>
    <row r="147" spans="1:11" ht="12.75" customHeight="1">
      <c r="A147" s="268"/>
      <c r="B147" s="269"/>
      <c r="C147" s="208"/>
      <c r="D147" s="236"/>
      <c r="E147" s="236"/>
      <c r="F147" s="204"/>
      <c r="G147" s="204"/>
      <c r="H147" s="340" t="s">
        <v>505</v>
      </c>
      <c r="I147" s="341">
        <v>50000</v>
      </c>
      <c r="J147" s="341" t="s">
        <v>60</v>
      </c>
      <c r="K147" s="309">
        <f>SUM(I147*1*12)</f>
        <v>600000</v>
      </c>
    </row>
    <row r="148" spans="1:11" ht="12.75" customHeight="1">
      <c r="A148" s="268"/>
      <c r="B148" s="269"/>
      <c r="C148" s="238"/>
      <c r="D148" s="239"/>
      <c r="E148" s="239"/>
      <c r="F148" s="251"/>
      <c r="G148" s="251"/>
      <c r="H148" s="194" t="s">
        <v>506</v>
      </c>
      <c r="I148" s="119">
        <v>30000</v>
      </c>
      <c r="J148" s="119" t="s">
        <v>60</v>
      </c>
      <c r="K148" s="125">
        <f>SUM(I148*1*12)</f>
        <v>360000</v>
      </c>
    </row>
    <row r="149" spans="1:11" ht="15" customHeight="1" thickBot="1">
      <c r="A149" s="270"/>
      <c r="B149" s="271"/>
      <c r="C149" s="211" t="s">
        <v>74</v>
      </c>
      <c r="D149" s="245">
        <v>1200</v>
      </c>
      <c r="E149" s="245">
        <v>1200</v>
      </c>
      <c r="F149" s="258">
        <f>E149-D149</f>
        <v>0</v>
      </c>
      <c r="G149" s="259">
        <f>F149*100/D149</f>
        <v>0</v>
      </c>
      <c r="H149" s="282" t="s">
        <v>67</v>
      </c>
      <c r="I149" s="260">
        <v>100000</v>
      </c>
      <c r="J149" s="260" t="s">
        <v>60</v>
      </c>
      <c r="K149" s="272">
        <f>SUM(I149*1*12)</f>
        <v>1200000</v>
      </c>
    </row>
    <row r="150" spans="1:11" ht="15" customHeight="1">
      <c r="A150" s="584" t="s">
        <v>5</v>
      </c>
      <c r="B150" s="574" t="s">
        <v>6</v>
      </c>
      <c r="C150" s="574" t="s">
        <v>7</v>
      </c>
      <c r="D150" s="574" t="s">
        <v>1076</v>
      </c>
      <c r="E150" s="574" t="s">
        <v>1077</v>
      </c>
      <c r="F150" s="577" t="s">
        <v>42</v>
      </c>
      <c r="G150" s="552"/>
      <c r="H150" s="578" t="s">
        <v>43</v>
      </c>
      <c r="I150" s="579"/>
      <c r="J150" s="579"/>
      <c r="K150" s="580"/>
    </row>
    <row r="151" spans="1:11" ht="14.25" customHeight="1" thickBot="1">
      <c r="A151" s="585"/>
      <c r="B151" s="575"/>
      <c r="C151" s="575"/>
      <c r="D151" s="575"/>
      <c r="E151" s="575"/>
      <c r="F151" s="518" t="s">
        <v>9</v>
      </c>
      <c r="G151" s="344" t="s">
        <v>44</v>
      </c>
      <c r="H151" s="581"/>
      <c r="I151" s="582"/>
      <c r="J151" s="582"/>
      <c r="K151" s="583"/>
    </row>
    <row r="152" spans="1:11" ht="18" customHeight="1">
      <c r="A152" s="274" t="s">
        <v>45</v>
      </c>
      <c r="B152" s="216" t="s">
        <v>88</v>
      </c>
      <c r="C152" s="276" t="s">
        <v>13</v>
      </c>
      <c r="D152" s="279">
        <f>SUM(D153+D154+D155)</f>
        <v>7800</v>
      </c>
      <c r="E152" s="279">
        <f>SUM(E153+E154+E155)</f>
        <v>7800</v>
      </c>
      <c r="F152" s="280">
        <f aca="true" t="shared" si="1" ref="F152:F158">E152-D152</f>
        <v>0</v>
      </c>
      <c r="G152" s="220">
        <f aca="true" t="shared" si="2" ref="G152:G158">F152*100/D152</f>
        <v>0</v>
      </c>
      <c r="H152" s="221"/>
      <c r="I152" s="281"/>
      <c r="J152" s="281"/>
      <c r="K152" s="125">
        <f>SUM(K153+K154+K155)</f>
        <v>7800000</v>
      </c>
    </row>
    <row r="153" spans="1:11" ht="18" customHeight="1">
      <c r="A153" s="274"/>
      <c r="B153" s="231"/>
      <c r="C153" s="209" t="s">
        <v>510</v>
      </c>
      <c r="D153" s="275">
        <v>2400</v>
      </c>
      <c r="E153" s="275">
        <v>2400</v>
      </c>
      <c r="F153" s="226">
        <f t="shared" si="1"/>
        <v>0</v>
      </c>
      <c r="G153" s="227">
        <f t="shared" si="2"/>
        <v>0</v>
      </c>
      <c r="H153" s="242" t="s">
        <v>91</v>
      </c>
      <c r="I153" s="193">
        <v>200000</v>
      </c>
      <c r="J153" s="193" t="s">
        <v>53</v>
      </c>
      <c r="K153" s="132">
        <f>SUM(I153*12)</f>
        <v>2400000</v>
      </c>
    </row>
    <row r="154" spans="1:11" ht="18" customHeight="1">
      <c r="A154" s="274"/>
      <c r="B154" s="231"/>
      <c r="C154" s="209" t="s">
        <v>89</v>
      </c>
      <c r="D154" s="275">
        <v>3600</v>
      </c>
      <c r="E154" s="275">
        <v>3600</v>
      </c>
      <c r="F154" s="226">
        <f t="shared" si="1"/>
        <v>0</v>
      </c>
      <c r="G154" s="227">
        <f t="shared" si="2"/>
        <v>0</v>
      </c>
      <c r="H154" s="242" t="s">
        <v>92</v>
      </c>
      <c r="I154" s="193">
        <v>300000</v>
      </c>
      <c r="J154" s="193" t="s">
        <v>53</v>
      </c>
      <c r="K154" s="132">
        <f>SUM(I154*12)</f>
        <v>3600000</v>
      </c>
    </row>
    <row r="155" spans="1:11" ht="18" customHeight="1">
      <c r="A155" s="274"/>
      <c r="B155" s="276"/>
      <c r="C155" s="238" t="s">
        <v>90</v>
      </c>
      <c r="D155" s="239">
        <v>1800</v>
      </c>
      <c r="E155" s="239">
        <v>1800</v>
      </c>
      <c r="F155" s="226">
        <f t="shared" si="1"/>
        <v>0</v>
      </c>
      <c r="G155" s="227">
        <f t="shared" si="2"/>
        <v>0</v>
      </c>
      <c r="H155" s="194" t="s">
        <v>93</v>
      </c>
      <c r="I155" s="119">
        <v>150000</v>
      </c>
      <c r="J155" s="119" t="s">
        <v>53</v>
      </c>
      <c r="K155" s="125">
        <f>SUM(I155*12)</f>
        <v>1800000</v>
      </c>
    </row>
    <row r="156" spans="1:11" ht="15" customHeight="1">
      <c r="A156" s="274"/>
      <c r="B156" s="216" t="s">
        <v>94</v>
      </c>
      <c r="C156" s="224" t="s">
        <v>13</v>
      </c>
      <c r="D156" s="225">
        <f>SUM(D157+D158+D162+D169+D179)</f>
        <v>48500</v>
      </c>
      <c r="E156" s="225">
        <f>SUM(E157+E158+E162+E169+E179)</f>
        <v>48500</v>
      </c>
      <c r="F156" s="226">
        <f t="shared" si="1"/>
        <v>0</v>
      </c>
      <c r="G156" s="227">
        <f t="shared" si="2"/>
        <v>0</v>
      </c>
      <c r="H156" s="228"/>
      <c r="I156" s="229"/>
      <c r="J156" s="229"/>
      <c r="K156" s="132">
        <f>SUM(K157+K158+K162+K169+K179)</f>
        <v>48499800</v>
      </c>
    </row>
    <row r="157" spans="1:11" ht="15" customHeight="1">
      <c r="A157" s="274"/>
      <c r="B157" s="231"/>
      <c r="C157" s="209" t="s">
        <v>17</v>
      </c>
      <c r="D157" s="275">
        <v>1000</v>
      </c>
      <c r="E157" s="275">
        <v>1000</v>
      </c>
      <c r="F157" s="226">
        <f t="shared" si="1"/>
        <v>0</v>
      </c>
      <c r="G157" s="227">
        <f t="shared" si="2"/>
        <v>0</v>
      </c>
      <c r="H157" s="242" t="s">
        <v>95</v>
      </c>
      <c r="I157" s="193">
        <v>100000</v>
      </c>
      <c r="J157" s="193" t="s">
        <v>98</v>
      </c>
      <c r="K157" s="132">
        <f>SUM(I157*10)</f>
        <v>1000000</v>
      </c>
    </row>
    <row r="158" spans="1:11" ht="15" customHeight="1">
      <c r="A158" s="274"/>
      <c r="B158" s="231"/>
      <c r="C158" s="208" t="s">
        <v>26</v>
      </c>
      <c r="D158" s="232">
        <v>15136</v>
      </c>
      <c r="E158" s="232">
        <v>15136</v>
      </c>
      <c r="F158" s="241">
        <f t="shared" si="1"/>
        <v>0</v>
      </c>
      <c r="G158" s="235">
        <f t="shared" si="2"/>
        <v>0</v>
      </c>
      <c r="H158" s="330" t="s">
        <v>96</v>
      </c>
      <c r="I158" s="193"/>
      <c r="J158" s="193"/>
      <c r="K158" s="132">
        <f>SUM(K159+K160+K161)</f>
        <v>15136120</v>
      </c>
    </row>
    <row r="159" spans="1:11" ht="15" customHeight="1">
      <c r="A159" s="274"/>
      <c r="B159" s="231"/>
      <c r="C159" s="208"/>
      <c r="D159" s="236"/>
      <c r="E159" s="236"/>
      <c r="F159" s="204"/>
      <c r="G159" s="204"/>
      <c r="H159" s="340" t="s">
        <v>97</v>
      </c>
      <c r="I159" s="341">
        <v>413612</v>
      </c>
      <c r="J159" s="341" t="s">
        <v>98</v>
      </c>
      <c r="K159" s="309">
        <f>SUM(I159*10)</f>
        <v>4136120</v>
      </c>
    </row>
    <row r="160" spans="1:11" ht="15" customHeight="1">
      <c r="A160" s="274"/>
      <c r="B160" s="231"/>
      <c r="C160" s="208"/>
      <c r="D160" s="236"/>
      <c r="E160" s="236"/>
      <c r="F160" s="204"/>
      <c r="G160" s="204"/>
      <c r="H160" s="333" t="s">
        <v>99</v>
      </c>
      <c r="I160" s="249">
        <v>700000</v>
      </c>
      <c r="J160" s="249" t="s">
        <v>98</v>
      </c>
      <c r="K160" s="254">
        <f>SUM(I160*10)</f>
        <v>7000000</v>
      </c>
    </row>
    <row r="161" spans="1:11" ht="15" customHeight="1">
      <c r="A161" s="274"/>
      <c r="B161" s="231"/>
      <c r="C161" s="238"/>
      <c r="D161" s="239"/>
      <c r="E161" s="239"/>
      <c r="F161" s="251"/>
      <c r="G161" s="251"/>
      <c r="H161" s="194" t="s">
        <v>100</v>
      </c>
      <c r="I161" s="119">
        <v>1000000</v>
      </c>
      <c r="J161" s="119" t="s">
        <v>101</v>
      </c>
      <c r="K161" s="125">
        <f>SUM(I161*4)</f>
        <v>4000000</v>
      </c>
    </row>
    <row r="162" spans="1:11" ht="15" customHeight="1">
      <c r="A162" s="274"/>
      <c r="B162" s="231"/>
      <c r="C162" s="208" t="s">
        <v>19</v>
      </c>
      <c r="D162" s="236">
        <v>14530</v>
      </c>
      <c r="E162" s="240">
        <v>14530</v>
      </c>
      <c r="F162" s="241">
        <f>E162-D162</f>
        <v>0</v>
      </c>
      <c r="G162" s="235">
        <f>F162*100/D162</f>
        <v>0</v>
      </c>
      <c r="H162" s="242" t="s">
        <v>110</v>
      </c>
      <c r="I162" s="193"/>
      <c r="J162" s="193"/>
      <c r="K162" s="132">
        <f>SUM(K163+K164+K165+K166+K167+K168)</f>
        <v>14530000</v>
      </c>
    </row>
    <row r="163" spans="1:11" ht="15" customHeight="1">
      <c r="A163" s="274"/>
      <c r="B163" s="231"/>
      <c r="C163" s="208"/>
      <c r="D163" s="236"/>
      <c r="E163" s="236"/>
      <c r="F163" s="204"/>
      <c r="G163" s="204"/>
      <c r="H163" s="388" t="s">
        <v>584</v>
      </c>
      <c r="I163" s="341">
        <v>100000</v>
      </c>
      <c r="J163" s="341" t="s">
        <v>107</v>
      </c>
      <c r="K163" s="309">
        <f>SUM(I163*1)</f>
        <v>100000</v>
      </c>
    </row>
    <row r="164" spans="1:11" ht="15" customHeight="1">
      <c r="A164" s="274"/>
      <c r="B164" s="231"/>
      <c r="C164" s="208"/>
      <c r="D164" s="236"/>
      <c r="E164" s="236"/>
      <c r="F164" s="204"/>
      <c r="G164" s="204"/>
      <c r="H164" s="333" t="s">
        <v>102</v>
      </c>
      <c r="I164" s="249">
        <v>450000</v>
      </c>
      <c r="J164" s="249" t="s">
        <v>53</v>
      </c>
      <c r="K164" s="254">
        <f>SUM(I164*12)</f>
        <v>5400000</v>
      </c>
    </row>
    <row r="165" spans="1:11" ht="15" customHeight="1">
      <c r="A165" s="274"/>
      <c r="B165" s="231"/>
      <c r="C165" s="208"/>
      <c r="D165" s="236"/>
      <c r="E165" s="236"/>
      <c r="F165" s="204"/>
      <c r="G165" s="204"/>
      <c r="H165" s="333" t="s">
        <v>103</v>
      </c>
      <c r="I165" s="249">
        <v>350000</v>
      </c>
      <c r="J165" s="249" t="s">
        <v>53</v>
      </c>
      <c r="K165" s="254">
        <f>SUM(I165*12)</f>
        <v>4200000</v>
      </c>
    </row>
    <row r="166" spans="1:11" ht="15" customHeight="1">
      <c r="A166" s="274"/>
      <c r="B166" s="231"/>
      <c r="C166" s="208"/>
      <c r="D166" s="236"/>
      <c r="E166" s="236"/>
      <c r="F166" s="204"/>
      <c r="G166" s="204"/>
      <c r="H166" s="333" t="s">
        <v>104</v>
      </c>
      <c r="I166" s="249">
        <v>50000</v>
      </c>
      <c r="J166" s="249" t="s">
        <v>53</v>
      </c>
      <c r="K166" s="254">
        <f>SUM(I166*12)</f>
        <v>600000</v>
      </c>
    </row>
    <row r="167" spans="1:11" ht="15" customHeight="1">
      <c r="A167" s="274"/>
      <c r="B167" s="231"/>
      <c r="C167" s="208"/>
      <c r="D167" s="236"/>
      <c r="E167" s="236"/>
      <c r="F167" s="204"/>
      <c r="G167" s="204"/>
      <c r="H167" s="333" t="s">
        <v>105</v>
      </c>
      <c r="I167" s="249">
        <v>350000</v>
      </c>
      <c r="J167" s="249" t="s">
        <v>53</v>
      </c>
      <c r="K167" s="254">
        <f>SUM(I167*12)</f>
        <v>4200000</v>
      </c>
    </row>
    <row r="168" spans="1:11" ht="15" customHeight="1">
      <c r="A168" s="274"/>
      <c r="B168" s="231"/>
      <c r="C168" s="238"/>
      <c r="D168" s="239"/>
      <c r="E168" s="239"/>
      <c r="F168" s="251"/>
      <c r="G168" s="251"/>
      <c r="H168" s="194" t="s">
        <v>106</v>
      </c>
      <c r="I168" s="119">
        <v>30000</v>
      </c>
      <c r="J168" s="119" t="s">
        <v>107</v>
      </c>
      <c r="K168" s="125">
        <f>SUM(I168*1)</f>
        <v>30000</v>
      </c>
    </row>
    <row r="169" spans="1:11" ht="15" customHeight="1">
      <c r="A169" s="274"/>
      <c r="B169" s="231"/>
      <c r="C169" s="208" t="s">
        <v>21</v>
      </c>
      <c r="D169" s="240">
        <v>5534</v>
      </c>
      <c r="E169" s="240">
        <v>5534</v>
      </c>
      <c r="F169" s="241">
        <f>E169-D169</f>
        <v>0</v>
      </c>
      <c r="G169" s="235">
        <f>F169*100/D169</f>
        <v>0</v>
      </c>
      <c r="H169" s="242" t="s">
        <v>108</v>
      </c>
      <c r="I169" s="193"/>
      <c r="J169" s="193"/>
      <c r="K169" s="132">
        <f>SUM(K170+K171+K172+K173+K174+K175+K176+K177+K178)</f>
        <v>5533680</v>
      </c>
    </row>
    <row r="170" spans="1:11" ht="15" customHeight="1">
      <c r="A170" s="274"/>
      <c r="B170" s="231"/>
      <c r="C170" s="208"/>
      <c r="D170" s="236"/>
      <c r="E170" s="236"/>
      <c r="F170" s="204"/>
      <c r="G170" s="204"/>
      <c r="H170" s="385" t="s">
        <v>585</v>
      </c>
      <c r="I170" s="341">
        <v>500000</v>
      </c>
      <c r="J170" s="341" t="s">
        <v>109</v>
      </c>
      <c r="K170" s="309">
        <f>SUM(I170*1)</f>
        <v>500000</v>
      </c>
    </row>
    <row r="171" spans="1:11" ht="15" customHeight="1">
      <c r="A171" s="274"/>
      <c r="B171" s="231"/>
      <c r="C171" s="208"/>
      <c r="D171" s="236"/>
      <c r="E171" s="236"/>
      <c r="F171" s="204"/>
      <c r="G171" s="204"/>
      <c r="H171" s="386" t="s">
        <v>586</v>
      </c>
      <c r="I171" s="249">
        <v>20000</v>
      </c>
      <c r="J171" s="249" t="s">
        <v>53</v>
      </c>
      <c r="K171" s="254">
        <f>SUM(I171*12)</f>
        <v>240000</v>
      </c>
    </row>
    <row r="172" spans="1:11" ht="15" customHeight="1">
      <c r="A172" s="274"/>
      <c r="B172" s="231"/>
      <c r="C172" s="208"/>
      <c r="D172" s="236"/>
      <c r="E172" s="236"/>
      <c r="F172" s="204"/>
      <c r="G172" s="204"/>
      <c r="H172" s="386" t="s">
        <v>587</v>
      </c>
      <c r="I172" s="249">
        <v>50000</v>
      </c>
      <c r="J172" s="249" t="s">
        <v>53</v>
      </c>
      <c r="K172" s="254">
        <f>SUM(I172*12)</f>
        <v>600000</v>
      </c>
    </row>
    <row r="173" spans="1:11" ht="15" customHeight="1">
      <c r="A173" s="274"/>
      <c r="B173" s="231"/>
      <c r="C173" s="208"/>
      <c r="D173" s="236"/>
      <c r="E173" s="236"/>
      <c r="F173" s="204"/>
      <c r="G173" s="204"/>
      <c r="H173" s="386" t="s">
        <v>588</v>
      </c>
      <c r="I173" s="249">
        <v>100000</v>
      </c>
      <c r="J173" s="249" t="s">
        <v>53</v>
      </c>
      <c r="K173" s="254">
        <f>SUM(I173*12)</f>
        <v>1200000</v>
      </c>
    </row>
    <row r="174" spans="1:11" ht="15" customHeight="1">
      <c r="A174" s="274"/>
      <c r="B174" s="231"/>
      <c r="C174" s="208"/>
      <c r="D174" s="236"/>
      <c r="E174" s="236"/>
      <c r="F174" s="204"/>
      <c r="G174" s="204"/>
      <c r="H174" s="386" t="s">
        <v>589</v>
      </c>
      <c r="I174" s="249">
        <v>200000</v>
      </c>
      <c r="J174" s="249" t="s">
        <v>109</v>
      </c>
      <c r="K174" s="254">
        <f>SUM(I174*1)</f>
        <v>200000</v>
      </c>
    </row>
    <row r="175" spans="1:11" ht="15" customHeight="1">
      <c r="A175" s="274"/>
      <c r="B175" s="231"/>
      <c r="C175" s="208"/>
      <c r="D175" s="236"/>
      <c r="E175" s="236"/>
      <c r="F175" s="204"/>
      <c r="G175" s="204"/>
      <c r="H175" s="333" t="s">
        <v>112</v>
      </c>
      <c r="I175" s="249">
        <v>197200</v>
      </c>
      <c r="J175" s="249" t="s">
        <v>512</v>
      </c>
      <c r="K175" s="254">
        <f>SUM(I175*2)</f>
        <v>394400</v>
      </c>
    </row>
    <row r="176" spans="1:11" ht="15" customHeight="1">
      <c r="A176" s="274"/>
      <c r="B176" s="231"/>
      <c r="C176" s="208"/>
      <c r="D176" s="236"/>
      <c r="E176" s="236"/>
      <c r="F176" s="204"/>
      <c r="G176" s="204"/>
      <c r="H176" s="333" t="s">
        <v>513</v>
      </c>
      <c r="I176" s="249">
        <v>124940</v>
      </c>
      <c r="J176" s="249" t="s">
        <v>53</v>
      </c>
      <c r="K176" s="254">
        <f>SUM(I176*12)</f>
        <v>1499280</v>
      </c>
    </row>
    <row r="177" spans="1:11" ht="15" customHeight="1">
      <c r="A177" s="274"/>
      <c r="B177" s="231"/>
      <c r="C177" s="208"/>
      <c r="D177" s="236"/>
      <c r="E177" s="236"/>
      <c r="F177" s="204"/>
      <c r="G177" s="204"/>
      <c r="H177" s="333" t="s">
        <v>514</v>
      </c>
      <c r="I177" s="249">
        <v>800000</v>
      </c>
      <c r="J177" s="249" t="s">
        <v>109</v>
      </c>
      <c r="K177" s="254">
        <f>SUM(I177*1)</f>
        <v>800000</v>
      </c>
    </row>
    <row r="178" spans="1:11" ht="15" customHeight="1">
      <c r="A178" s="274"/>
      <c r="B178" s="231"/>
      <c r="C178" s="238"/>
      <c r="D178" s="239"/>
      <c r="E178" s="239"/>
      <c r="F178" s="251"/>
      <c r="G178" s="251"/>
      <c r="H178" s="194" t="s">
        <v>187</v>
      </c>
      <c r="I178" s="119">
        <v>100000</v>
      </c>
      <c r="J178" s="119" t="s">
        <v>109</v>
      </c>
      <c r="K178" s="125">
        <f>SUM(I178*1)</f>
        <v>100000</v>
      </c>
    </row>
    <row r="179" spans="1:11" ht="15" customHeight="1">
      <c r="A179" s="274"/>
      <c r="B179" s="231"/>
      <c r="C179" s="208" t="s">
        <v>515</v>
      </c>
      <c r="D179" s="232">
        <v>12300</v>
      </c>
      <c r="E179" s="232">
        <v>12300</v>
      </c>
      <c r="F179" s="241">
        <f>E179-D179</f>
        <v>0</v>
      </c>
      <c r="G179" s="235">
        <f>F179*100/D179</f>
        <v>0</v>
      </c>
      <c r="H179" s="330" t="s">
        <v>590</v>
      </c>
      <c r="I179" s="193"/>
      <c r="J179" s="193"/>
      <c r="K179" s="132">
        <f>SUM(K180+K181+K182)</f>
        <v>12300000</v>
      </c>
    </row>
    <row r="180" spans="1:11" ht="15" customHeight="1">
      <c r="A180" s="274"/>
      <c r="B180" s="231"/>
      <c r="C180" s="208"/>
      <c r="D180" s="236"/>
      <c r="E180" s="236"/>
      <c r="F180" s="204"/>
      <c r="G180" s="204"/>
      <c r="H180" s="340" t="s">
        <v>516</v>
      </c>
      <c r="I180" s="341">
        <v>2500000</v>
      </c>
      <c r="J180" s="341" t="s">
        <v>109</v>
      </c>
      <c r="K180" s="309">
        <f>SUM(I180*1)</f>
        <v>2500000</v>
      </c>
    </row>
    <row r="181" spans="1:11" ht="15" customHeight="1">
      <c r="A181" s="274"/>
      <c r="B181" s="231"/>
      <c r="C181" s="208"/>
      <c r="D181" s="236"/>
      <c r="E181" s="236"/>
      <c r="F181" s="204"/>
      <c r="G181" s="204"/>
      <c r="H181" s="333" t="s">
        <v>517</v>
      </c>
      <c r="I181" s="249">
        <v>150000</v>
      </c>
      <c r="J181" s="249" t="s">
        <v>53</v>
      </c>
      <c r="K181" s="254">
        <f>SUM(I181*12)</f>
        <v>1800000</v>
      </c>
    </row>
    <row r="182" spans="1:11" ht="15" customHeight="1">
      <c r="A182" s="268"/>
      <c r="B182" s="276"/>
      <c r="C182" s="238"/>
      <c r="D182" s="239"/>
      <c r="E182" s="239"/>
      <c r="F182" s="251"/>
      <c r="G182" s="251"/>
      <c r="H182" s="194" t="s">
        <v>518</v>
      </c>
      <c r="I182" s="119">
        <v>8000000</v>
      </c>
      <c r="J182" s="119" t="s">
        <v>109</v>
      </c>
      <c r="K182" s="125">
        <f>SUM(I182*1)</f>
        <v>8000000</v>
      </c>
    </row>
    <row r="183" spans="1:11" ht="18.75" customHeight="1">
      <c r="A183" s="274"/>
      <c r="B183" s="216" t="s">
        <v>870</v>
      </c>
      <c r="C183" s="276" t="s">
        <v>13</v>
      </c>
      <c r="D183" s="279">
        <f>SUM(D184)</f>
        <v>0</v>
      </c>
      <c r="E183" s="279">
        <f>SUM(E184)</f>
        <v>474</v>
      </c>
      <c r="F183" s="280">
        <f>E183-D183</f>
        <v>474</v>
      </c>
      <c r="G183" s="220">
        <v>0</v>
      </c>
      <c r="H183" s="221"/>
      <c r="I183" s="281"/>
      <c r="J183" s="281"/>
      <c r="K183" s="125">
        <f>SUM(K184)</f>
        <v>474436</v>
      </c>
    </row>
    <row r="184" spans="1:11" ht="18.75" customHeight="1" thickBot="1">
      <c r="A184" s="531"/>
      <c r="B184" s="244"/>
      <c r="C184" s="214" t="s">
        <v>26</v>
      </c>
      <c r="D184" s="301">
        <v>0</v>
      </c>
      <c r="E184" s="301">
        <v>474</v>
      </c>
      <c r="F184" s="317">
        <f>E184-D184</f>
        <v>474</v>
      </c>
      <c r="G184" s="303">
        <v>0</v>
      </c>
      <c r="H184" s="532" t="s">
        <v>96</v>
      </c>
      <c r="I184" s="261"/>
      <c r="J184" s="261"/>
      <c r="K184" s="262">
        <v>474436</v>
      </c>
    </row>
    <row r="185" spans="1:11" ht="13.5">
      <c r="A185" s="584" t="s">
        <v>5</v>
      </c>
      <c r="B185" s="574" t="s">
        <v>6</v>
      </c>
      <c r="C185" s="574" t="s">
        <v>7</v>
      </c>
      <c r="D185" s="574" t="s">
        <v>1076</v>
      </c>
      <c r="E185" s="574" t="s">
        <v>1077</v>
      </c>
      <c r="F185" s="577" t="s">
        <v>42</v>
      </c>
      <c r="G185" s="552"/>
      <c r="H185" s="578" t="s">
        <v>43</v>
      </c>
      <c r="I185" s="579"/>
      <c r="J185" s="579"/>
      <c r="K185" s="580"/>
    </row>
    <row r="186" spans="1:11" ht="14.25" thickBot="1">
      <c r="A186" s="585"/>
      <c r="B186" s="575"/>
      <c r="C186" s="575"/>
      <c r="D186" s="575"/>
      <c r="E186" s="575"/>
      <c r="F186" s="518" t="s">
        <v>9</v>
      </c>
      <c r="G186" s="344" t="s">
        <v>44</v>
      </c>
      <c r="H186" s="581"/>
      <c r="I186" s="582"/>
      <c r="J186" s="582"/>
      <c r="K186" s="583"/>
    </row>
    <row r="187" spans="1:11" ht="13.5" customHeight="1">
      <c r="A187" s="288"/>
      <c r="B187" s="216" t="s">
        <v>111</v>
      </c>
      <c r="C187" s="276" t="s">
        <v>13</v>
      </c>
      <c r="D187" s="279">
        <f>SUM(D188+D189)</f>
        <v>1537</v>
      </c>
      <c r="E187" s="279">
        <f>SUM(E188+E189)</f>
        <v>1537</v>
      </c>
      <c r="F187" s="280">
        <f>E187-D187</f>
        <v>0</v>
      </c>
      <c r="G187" s="220">
        <f>F187*100/D187</f>
        <v>0</v>
      </c>
      <c r="H187" s="221"/>
      <c r="I187" s="281"/>
      <c r="J187" s="281"/>
      <c r="K187" s="125">
        <f>SUM(K188+K189)</f>
        <v>1537200</v>
      </c>
    </row>
    <row r="188" spans="1:11" ht="13.5" customHeight="1">
      <c r="A188" s="288"/>
      <c r="B188" s="231"/>
      <c r="C188" s="209" t="s">
        <v>26</v>
      </c>
      <c r="D188" s="275">
        <v>0</v>
      </c>
      <c r="E188" s="275">
        <v>0</v>
      </c>
      <c r="F188" s="226">
        <f>E188-D188</f>
        <v>0</v>
      </c>
      <c r="G188" s="227">
        <v>0</v>
      </c>
      <c r="H188" s="330" t="s">
        <v>96</v>
      </c>
      <c r="I188" s="193"/>
      <c r="J188" s="193"/>
      <c r="K188" s="132">
        <v>0</v>
      </c>
    </row>
    <row r="189" spans="1:11" ht="13.5" customHeight="1">
      <c r="A189" s="288"/>
      <c r="B189" s="231"/>
      <c r="C189" s="208" t="s">
        <v>21</v>
      </c>
      <c r="D189" s="236">
        <v>1537</v>
      </c>
      <c r="E189" s="236">
        <v>1537</v>
      </c>
      <c r="F189" s="252">
        <f>E189-D189</f>
        <v>0</v>
      </c>
      <c r="G189" s="253">
        <v>0</v>
      </c>
      <c r="H189" s="340" t="s">
        <v>108</v>
      </c>
      <c r="I189" s="341"/>
      <c r="J189" s="341"/>
      <c r="K189" s="309">
        <f>SUM(K190+K191+K192+K193+K194)</f>
        <v>1537200</v>
      </c>
    </row>
    <row r="190" spans="1:11" ht="13.5" customHeight="1">
      <c r="A190" s="288"/>
      <c r="B190" s="231"/>
      <c r="C190" s="208"/>
      <c r="D190" s="236"/>
      <c r="E190" s="236"/>
      <c r="F190" s="204"/>
      <c r="G190" s="204"/>
      <c r="H190" s="333" t="s">
        <v>519</v>
      </c>
      <c r="I190" s="249">
        <v>643240</v>
      </c>
      <c r="J190" s="249" t="s">
        <v>109</v>
      </c>
      <c r="K190" s="254">
        <f>SUM(I190*1)</f>
        <v>643240</v>
      </c>
    </row>
    <row r="191" spans="1:11" ht="13.5" customHeight="1">
      <c r="A191" s="288"/>
      <c r="B191" s="231"/>
      <c r="C191" s="208"/>
      <c r="D191" s="236"/>
      <c r="E191" s="236"/>
      <c r="F191" s="204"/>
      <c r="G191" s="204"/>
      <c r="H191" s="333" t="s">
        <v>112</v>
      </c>
      <c r="I191" s="249"/>
      <c r="J191" s="249"/>
      <c r="K191" s="254">
        <v>118290</v>
      </c>
    </row>
    <row r="192" spans="1:11" ht="13.5" customHeight="1">
      <c r="A192" s="288"/>
      <c r="B192" s="231"/>
      <c r="C192" s="208"/>
      <c r="D192" s="236"/>
      <c r="E192" s="236"/>
      <c r="F192" s="204"/>
      <c r="G192" s="204"/>
      <c r="H192" s="333" t="s">
        <v>520</v>
      </c>
      <c r="I192" s="249">
        <v>55570</v>
      </c>
      <c r="J192" s="249" t="s">
        <v>109</v>
      </c>
      <c r="K192" s="254">
        <f>SUM(I192*1)</f>
        <v>55570</v>
      </c>
    </row>
    <row r="193" spans="1:11" ht="13.5" customHeight="1">
      <c r="A193" s="288"/>
      <c r="B193" s="231"/>
      <c r="C193" s="208"/>
      <c r="D193" s="236"/>
      <c r="E193" s="236"/>
      <c r="F193" s="204"/>
      <c r="G193" s="204"/>
      <c r="H193" s="333" t="s">
        <v>521</v>
      </c>
      <c r="I193" s="249">
        <v>44175</v>
      </c>
      <c r="J193" s="249" t="s">
        <v>53</v>
      </c>
      <c r="K193" s="254">
        <f>SUM(I193*12)</f>
        <v>530100</v>
      </c>
    </row>
    <row r="194" spans="1:11" ht="13.5" customHeight="1">
      <c r="A194" s="419"/>
      <c r="B194" s="276"/>
      <c r="C194" s="238"/>
      <c r="D194" s="239"/>
      <c r="E194" s="239"/>
      <c r="F194" s="251"/>
      <c r="G194" s="251"/>
      <c r="H194" s="194" t="s">
        <v>522</v>
      </c>
      <c r="I194" s="119">
        <v>190000</v>
      </c>
      <c r="J194" s="119" t="s">
        <v>109</v>
      </c>
      <c r="K194" s="125">
        <f>SUM(I194*1)</f>
        <v>190000</v>
      </c>
    </row>
    <row r="195" spans="1:11" ht="13.5" customHeight="1">
      <c r="A195" s="274" t="s">
        <v>523</v>
      </c>
      <c r="B195" s="216" t="s">
        <v>27</v>
      </c>
      <c r="C195" s="276" t="s">
        <v>13</v>
      </c>
      <c r="D195" s="225">
        <f>SUM(D196+D197+D198)</f>
        <v>8500</v>
      </c>
      <c r="E195" s="279">
        <f>SUM(E196+E197+E198)</f>
        <v>8980</v>
      </c>
      <c r="F195" s="280">
        <f aca="true" t="shared" si="3" ref="F195:F204">E195-D195</f>
        <v>480</v>
      </c>
      <c r="G195" s="220">
        <f>F195*100/D195</f>
        <v>5.647058823529412</v>
      </c>
      <c r="H195" s="221"/>
      <c r="I195" s="281"/>
      <c r="J195" s="281"/>
      <c r="K195" s="125">
        <f>SUM(K196+K197+K198)</f>
        <v>8980000</v>
      </c>
    </row>
    <row r="196" spans="1:11" ht="13.5" customHeight="1">
      <c r="A196" s="274" t="s">
        <v>113</v>
      </c>
      <c r="B196" s="231"/>
      <c r="C196" s="209" t="s">
        <v>28</v>
      </c>
      <c r="D196" s="275">
        <v>2180</v>
      </c>
      <c r="E196" s="275">
        <v>6680</v>
      </c>
      <c r="F196" s="226">
        <f t="shared" si="3"/>
        <v>4500</v>
      </c>
      <c r="G196" s="227">
        <f>F196*100/D196</f>
        <v>206.42201834862385</v>
      </c>
      <c r="H196" s="242" t="s">
        <v>114</v>
      </c>
      <c r="I196" s="193"/>
      <c r="J196" s="193"/>
      <c r="K196" s="132">
        <v>6680000</v>
      </c>
    </row>
    <row r="197" spans="1:11" ht="13.5" customHeight="1">
      <c r="A197" s="274"/>
      <c r="B197" s="231"/>
      <c r="C197" s="209" t="s">
        <v>29</v>
      </c>
      <c r="D197" s="275">
        <v>5000</v>
      </c>
      <c r="E197" s="275">
        <v>500</v>
      </c>
      <c r="F197" s="226">
        <f t="shared" si="3"/>
        <v>-4500</v>
      </c>
      <c r="G197" s="227">
        <v>0</v>
      </c>
      <c r="H197" s="242" t="s">
        <v>115</v>
      </c>
      <c r="I197" s="193" t="s">
        <v>524</v>
      </c>
      <c r="J197" s="193"/>
      <c r="K197" s="132">
        <v>500000</v>
      </c>
    </row>
    <row r="198" spans="1:11" ht="13.5" customHeight="1">
      <c r="A198" s="420"/>
      <c r="B198" s="276"/>
      <c r="C198" s="238" t="s">
        <v>30</v>
      </c>
      <c r="D198" s="275">
        <v>1320</v>
      </c>
      <c r="E198" s="239">
        <v>1800</v>
      </c>
      <c r="F198" s="226">
        <f t="shared" si="3"/>
        <v>480</v>
      </c>
      <c r="G198" s="227">
        <f aca="true" t="shared" si="4" ref="G198:G203">F198*100/D198</f>
        <v>36.36363636363637</v>
      </c>
      <c r="H198" s="242" t="s">
        <v>116</v>
      </c>
      <c r="I198" s="193">
        <v>150000</v>
      </c>
      <c r="J198" s="193" t="s">
        <v>53</v>
      </c>
      <c r="K198" s="132">
        <f>SUM(I198*12)</f>
        <v>1800000</v>
      </c>
    </row>
    <row r="199" spans="1:11" ht="13.5" customHeight="1">
      <c r="A199" s="217" t="s">
        <v>117</v>
      </c>
      <c r="B199" s="592" t="s">
        <v>11</v>
      </c>
      <c r="C199" s="594"/>
      <c r="D199" s="120">
        <f>SUM(D200+D202+D315+D330+D339)</f>
        <v>159157</v>
      </c>
      <c r="E199" s="120">
        <f>SUM(E200+E202+E315+E330+E339)</f>
        <v>164748</v>
      </c>
      <c r="F199" s="219">
        <f t="shared" si="3"/>
        <v>5591</v>
      </c>
      <c r="G199" s="220">
        <f t="shared" si="4"/>
        <v>3.5128835049667937</v>
      </c>
      <c r="H199" s="221"/>
      <c r="I199" s="222"/>
      <c r="J199" s="222"/>
      <c r="K199" s="125">
        <f>SUM(K200+K202+K315+K330+K339)</f>
        <v>164748501</v>
      </c>
    </row>
    <row r="200" spans="1:11" ht="13.5" customHeight="1">
      <c r="A200" s="223"/>
      <c r="B200" s="201" t="s">
        <v>525</v>
      </c>
      <c r="C200" s="224" t="s">
        <v>13</v>
      </c>
      <c r="D200" s="185">
        <f>SUM(D201)</f>
        <v>4000</v>
      </c>
      <c r="E200" s="185">
        <f>SUM(E201)</f>
        <v>4000</v>
      </c>
      <c r="F200" s="284">
        <f t="shared" si="3"/>
        <v>0</v>
      </c>
      <c r="G200" s="227">
        <f t="shared" si="4"/>
        <v>0</v>
      </c>
      <c r="H200" s="285"/>
      <c r="I200" s="229"/>
      <c r="J200" s="281"/>
      <c r="K200" s="132">
        <f>SUM(K201)</f>
        <v>4000000</v>
      </c>
    </row>
    <row r="201" spans="1:11" ht="13.5" customHeight="1">
      <c r="A201" s="230"/>
      <c r="B201" s="231"/>
      <c r="C201" s="209" t="s">
        <v>526</v>
      </c>
      <c r="D201" s="120">
        <v>4000</v>
      </c>
      <c r="E201" s="120">
        <v>4000</v>
      </c>
      <c r="F201" s="286">
        <f t="shared" si="3"/>
        <v>0</v>
      </c>
      <c r="G201" s="287">
        <f t="shared" si="4"/>
        <v>0</v>
      </c>
      <c r="H201" s="242" t="s">
        <v>118</v>
      </c>
      <c r="I201" s="193">
        <v>1000000</v>
      </c>
      <c r="J201" s="193" t="s">
        <v>101</v>
      </c>
      <c r="K201" s="132">
        <f>SUM(I201*4)</f>
        <v>4000000</v>
      </c>
    </row>
    <row r="202" spans="1:11" ht="13.5" customHeight="1">
      <c r="A202" s="288"/>
      <c r="B202" s="289" t="s">
        <v>119</v>
      </c>
      <c r="C202" s="290" t="s">
        <v>13</v>
      </c>
      <c r="D202" s="185">
        <f>SUM(D203+D228+D248+D283+D307)</f>
        <v>51440</v>
      </c>
      <c r="E202" s="185">
        <f>SUM(E203+E228+E248+E283+E307)</f>
        <v>51920</v>
      </c>
      <c r="F202" s="284">
        <f t="shared" si="3"/>
        <v>480</v>
      </c>
      <c r="G202" s="227">
        <f t="shared" si="4"/>
        <v>0.9331259720062208</v>
      </c>
      <c r="H202" s="221"/>
      <c r="I202" s="229"/>
      <c r="J202" s="229"/>
      <c r="K202" s="132">
        <f>SUM(K203+K228+K248+K283+K307)</f>
        <v>51920000</v>
      </c>
    </row>
    <row r="203" spans="1:11" ht="13.5" customHeight="1">
      <c r="A203" s="288"/>
      <c r="B203" s="589" t="s">
        <v>120</v>
      </c>
      <c r="C203" s="604"/>
      <c r="D203" s="185">
        <f>SUM(D204:D225)</f>
        <v>8000</v>
      </c>
      <c r="E203" s="185">
        <f>SUM(E204:E225)</f>
        <v>8000</v>
      </c>
      <c r="F203" s="286">
        <f t="shared" si="3"/>
        <v>0</v>
      </c>
      <c r="G203" s="227">
        <f t="shared" si="4"/>
        <v>0</v>
      </c>
      <c r="H203" s="242" t="s">
        <v>121</v>
      </c>
      <c r="I203" s="193"/>
      <c r="J203" s="193"/>
      <c r="K203" s="132">
        <f>SUM(K204+K205+K206+K207+K215+K218+K219+K220+K221+K222+K223+K224+K225)</f>
        <v>8000000</v>
      </c>
    </row>
    <row r="204" spans="1:11" ht="13.5" customHeight="1">
      <c r="A204" s="230"/>
      <c r="B204" s="216" t="s">
        <v>122</v>
      </c>
      <c r="C204" s="209" t="s">
        <v>123</v>
      </c>
      <c r="D204" s="275">
        <v>0</v>
      </c>
      <c r="E204" s="275">
        <v>0</v>
      </c>
      <c r="F204" s="291">
        <f t="shared" si="3"/>
        <v>0</v>
      </c>
      <c r="G204" s="227">
        <v>0</v>
      </c>
      <c r="H204" s="242"/>
      <c r="I204" s="193"/>
      <c r="J204" s="193"/>
      <c r="K204" s="132"/>
    </row>
    <row r="205" spans="1:11" ht="13.5" customHeight="1">
      <c r="A205" s="230"/>
      <c r="B205" s="216"/>
      <c r="C205" s="209" t="s">
        <v>124</v>
      </c>
      <c r="D205" s="275">
        <v>100</v>
      </c>
      <c r="E205" s="275">
        <v>100</v>
      </c>
      <c r="F205" s="291">
        <f>E205-D205</f>
        <v>0</v>
      </c>
      <c r="G205" s="227">
        <v>0</v>
      </c>
      <c r="H205" s="330" t="s">
        <v>591</v>
      </c>
      <c r="I205" s="193">
        <v>50000</v>
      </c>
      <c r="J205" s="193" t="s">
        <v>127</v>
      </c>
      <c r="K205" s="132">
        <f>SUM(I205*2)</f>
        <v>100000</v>
      </c>
    </row>
    <row r="206" spans="1:11" ht="13.5" customHeight="1">
      <c r="A206" s="230"/>
      <c r="B206" s="292"/>
      <c r="C206" s="208" t="s">
        <v>125</v>
      </c>
      <c r="D206" s="236">
        <v>100</v>
      </c>
      <c r="E206" s="236">
        <v>60</v>
      </c>
      <c r="F206" s="234">
        <f>E206-D206</f>
        <v>-40</v>
      </c>
      <c r="G206" s="235">
        <v>0</v>
      </c>
      <c r="H206" s="180" t="s">
        <v>128</v>
      </c>
      <c r="I206" s="119">
        <v>3000</v>
      </c>
      <c r="J206" s="119" t="s">
        <v>129</v>
      </c>
      <c r="K206" s="125">
        <f>SUM(I206*20)</f>
        <v>60000</v>
      </c>
    </row>
    <row r="207" spans="1:11" ht="12.75" customHeight="1">
      <c r="A207" s="230"/>
      <c r="B207" s="293" t="s">
        <v>527</v>
      </c>
      <c r="C207" s="212" t="s">
        <v>528</v>
      </c>
      <c r="D207" s="232">
        <v>7000</v>
      </c>
      <c r="E207" s="232">
        <v>7040</v>
      </c>
      <c r="F207" s="241">
        <f>E207-D207</f>
        <v>40</v>
      </c>
      <c r="G207" s="235">
        <f>F207*100/D207</f>
        <v>0.5714285714285714</v>
      </c>
      <c r="H207" s="330" t="s">
        <v>578</v>
      </c>
      <c r="I207" s="193"/>
      <c r="J207" s="193"/>
      <c r="K207" s="132">
        <f>SUM(K208:K214)</f>
        <v>7040000</v>
      </c>
    </row>
    <row r="208" spans="1:11" ht="12.75" customHeight="1">
      <c r="A208" s="230"/>
      <c r="B208" s="293"/>
      <c r="C208" s="208"/>
      <c r="D208" s="236"/>
      <c r="E208" s="236"/>
      <c r="F208" s="252"/>
      <c r="G208" s="253"/>
      <c r="H208" s="340" t="s">
        <v>204</v>
      </c>
      <c r="I208" s="341">
        <v>45000</v>
      </c>
      <c r="J208" s="341" t="s">
        <v>127</v>
      </c>
      <c r="K208" s="309">
        <f>SUM(I208*2)</f>
        <v>90000</v>
      </c>
    </row>
    <row r="209" spans="1:11" ht="12.75" customHeight="1">
      <c r="A209" s="230"/>
      <c r="B209" s="293"/>
      <c r="C209" s="208"/>
      <c r="D209" s="236"/>
      <c r="E209" s="236"/>
      <c r="F209" s="252"/>
      <c r="G209" s="253"/>
      <c r="H209" s="333" t="s">
        <v>203</v>
      </c>
      <c r="I209" s="249">
        <v>90000</v>
      </c>
      <c r="J209" s="249" t="s">
        <v>53</v>
      </c>
      <c r="K209" s="254">
        <f>SUM(I209*12)</f>
        <v>1080000</v>
      </c>
    </row>
    <row r="210" spans="1:11" ht="12.75" customHeight="1">
      <c r="A210" s="230"/>
      <c r="B210" s="293"/>
      <c r="C210" s="208"/>
      <c r="D210" s="236"/>
      <c r="E210" s="236"/>
      <c r="F210" s="252"/>
      <c r="G210" s="253"/>
      <c r="H210" s="333" t="s">
        <v>529</v>
      </c>
      <c r="I210" s="249">
        <v>100000</v>
      </c>
      <c r="J210" s="249" t="s">
        <v>837</v>
      </c>
      <c r="K210" s="254">
        <f>SUM(I210*5)</f>
        <v>500000</v>
      </c>
    </row>
    <row r="211" spans="1:11" ht="12.75" customHeight="1">
      <c r="A211" s="230"/>
      <c r="B211" s="293"/>
      <c r="C211" s="208"/>
      <c r="D211" s="236"/>
      <c r="E211" s="236"/>
      <c r="F211" s="252"/>
      <c r="G211" s="253"/>
      <c r="H211" s="333" t="s">
        <v>838</v>
      </c>
      <c r="I211" s="249">
        <v>140000</v>
      </c>
      <c r="J211" s="249" t="s">
        <v>127</v>
      </c>
      <c r="K211" s="254">
        <f>SUM(I211*2)</f>
        <v>280000</v>
      </c>
    </row>
    <row r="212" spans="1:11" ht="12.75" customHeight="1">
      <c r="A212" s="230"/>
      <c r="B212" s="293"/>
      <c r="C212" s="208"/>
      <c r="D212" s="236"/>
      <c r="E212" s="236"/>
      <c r="F212" s="252"/>
      <c r="G212" s="253"/>
      <c r="H212" s="333" t="s">
        <v>839</v>
      </c>
      <c r="I212" s="249">
        <v>50000</v>
      </c>
      <c r="J212" s="249" t="s">
        <v>109</v>
      </c>
      <c r="K212" s="254">
        <f>SUM(I212*1)</f>
        <v>50000</v>
      </c>
    </row>
    <row r="213" spans="1:11" ht="12.75" customHeight="1">
      <c r="A213" s="230"/>
      <c r="B213" s="293"/>
      <c r="C213" s="208"/>
      <c r="D213" s="236"/>
      <c r="E213" s="236"/>
      <c r="F213" s="252"/>
      <c r="G213" s="253"/>
      <c r="H213" s="333" t="s">
        <v>840</v>
      </c>
      <c r="I213" s="249">
        <v>40000</v>
      </c>
      <c r="J213" s="249" t="s">
        <v>841</v>
      </c>
      <c r="K213" s="254">
        <f>SUM(I213*6)</f>
        <v>240000</v>
      </c>
    </row>
    <row r="214" spans="1:11" ht="12.75" customHeight="1">
      <c r="A214" s="230"/>
      <c r="B214" s="293"/>
      <c r="C214" s="208"/>
      <c r="D214" s="236"/>
      <c r="E214" s="239"/>
      <c r="F214" s="252"/>
      <c r="G214" s="253"/>
      <c r="H214" s="194" t="s">
        <v>530</v>
      </c>
      <c r="I214" s="119">
        <v>400000</v>
      </c>
      <c r="J214" s="119" t="s">
        <v>53</v>
      </c>
      <c r="K214" s="125">
        <f>SUM(I214*12)</f>
        <v>4800000</v>
      </c>
    </row>
    <row r="215" spans="1:11" ht="12.75" customHeight="1">
      <c r="A215" s="230"/>
      <c r="B215" s="293"/>
      <c r="C215" s="212" t="s">
        <v>531</v>
      </c>
      <c r="D215" s="294">
        <v>300</v>
      </c>
      <c r="E215" s="294">
        <v>300</v>
      </c>
      <c r="F215" s="295">
        <f>E215-D215</f>
        <v>0</v>
      </c>
      <c r="G215" s="296">
        <f>F215*100/D215</f>
        <v>0</v>
      </c>
      <c r="H215" s="242" t="s">
        <v>532</v>
      </c>
      <c r="I215" s="193"/>
      <c r="J215" s="193"/>
      <c r="K215" s="132">
        <f>SUM(K216:K217)</f>
        <v>300000</v>
      </c>
    </row>
    <row r="216" spans="1:11" ht="12.75" customHeight="1">
      <c r="A216" s="230"/>
      <c r="B216" s="293"/>
      <c r="C216" s="208"/>
      <c r="D216" s="236"/>
      <c r="E216" s="236"/>
      <c r="F216" s="252"/>
      <c r="G216" s="297"/>
      <c r="H216" s="340" t="s">
        <v>204</v>
      </c>
      <c r="I216" s="341">
        <v>30000</v>
      </c>
      <c r="J216" s="341" t="s">
        <v>127</v>
      </c>
      <c r="K216" s="309">
        <f>SUM(I216*2)</f>
        <v>60000</v>
      </c>
    </row>
    <row r="217" spans="1:11" ht="12.75" customHeight="1">
      <c r="A217" s="230"/>
      <c r="B217" s="293"/>
      <c r="C217" s="238"/>
      <c r="D217" s="239"/>
      <c r="E217" s="239"/>
      <c r="F217" s="280"/>
      <c r="G217" s="298"/>
      <c r="H217" s="194" t="s">
        <v>203</v>
      </c>
      <c r="I217" s="119">
        <v>20000</v>
      </c>
      <c r="J217" s="119" t="s">
        <v>53</v>
      </c>
      <c r="K217" s="125">
        <f>SUM(I217*12)</f>
        <v>240000</v>
      </c>
    </row>
    <row r="218" spans="1:11" ht="12.75" customHeight="1">
      <c r="A218" s="230"/>
      <c r="B218" s="216"/>
      <c r="C218" s="238" t="s">
        <v>844</v>
      </c>
      <c r="D218" s="239">
        <v>100</v>
      </c>
      <c r="E218" s="239">
        <v>60</v>
      </c>
      <c r="F218" s="299">
        <f aca="true" t="shared" si="5" ref="F218:F225">E218-D218</f>
        <v>-40</v>
      </c>
      <c r="G218" s="220">
        <v>0</v>
      </c>
      <c r="H218" s="336" t="s">
        <v>845</v>
      </c>
      <c r="I218" s="193">
        <v>30000</v>
      </c>
      <c r="J218" s="193" t="s">
        <v>127</v>
      </c>
      <c r="K218" s="132">
        <f>SUM(I218*2)</f>
        <v>60000</v>
      </c>
    </row>
    <row r="219" spans="1:11" ht="12.75" customHeight="1">
      <c r="A219" s="230"/>
      <c r="B219" s="216"/>
      <c r="C219" s="209" t="s">
        <v>533</v>
      </c>
      <c r="D219" s="275">
        <v>100</v>
      </c>
      <c r="E219" s="275">
        <v>140</v>
      </c>
      <c r="F219" s="291">
        <f t="shared" si="5"/>
        <v>40</v>
      </c>
      <c r="G219" s="227">
        <f>F219*100/D219</f>
        <v>40</v>
      </c>
      <c r="H219" s="180" t="s">
        <v>130</v>
      </c>
      <c r="I219" s="193">
        <v>140000</v>
      </c>
      <c r="J219" s="193" t="s">
        <v>109</v>
      </c>
      <c r="K219" s="132">
        <f>SUM(I219*1)</f>
        <v>140000</v>
      </c>
    </row>
    <row r="220" spans="1:11" ht="12.75" customHeight="1">
      <c r="A220" s="230"/>
      <c r="B220" s="292"/>
      <c r="C220" s="209" t="s">
        <v>842</v>
      </c>
      <c r="D220" s="275">
        <v>0</v>
      </c>
      <c r="E220" s="275">
        <v>0</v>
      </c>
      <c r="F220" s="291">
        <f t="shared" si="5"/>
        <v>0</v>
      </c>
      <c r="G220" s="227">
        <v>0</v>
      </c>
      <c r="H220" s="180" t="s">
        <v>843</v>
      </c>
      <c r="I220" s="193"/>
      <c r="J220" s="193"/>
      <c r="K220" s="132"/>
    </row>
    <row r="221" spans="1:11" ht="12.75" customHeight="1">
      <c r="A221" s="230"/>
      <c r="B221" s="216" t="s">
        <v>534</v>
      </c>
      <c r="C221" s="209" t="s">
        <v>846</v>
      </c>
      <c r="D221" s="275">
        <v>0</v>
      </c>
      <c r="E221" s="275">
        <v>0</v>
      </c>
      <c r="F221" s="291">
        <f t="shared" si="5"/>
        <v>0</v>
      </c>
      <c r="G221" s="227">
        <v>0</v>
      </c>
      <c r="H221" s="242"/>
      <c r="I221" s="193"/>
      <c r="J221" s="193"/>
      <c r="K221" s="132"/>
    </row>
    <row r="222" spans="1:11" ht="12.75" customHeight="1">
      <c r="A222" s="230"/>
      <c r="B222" s="216"/>
      <c r="C222" s="209" t="s">
        <v>535</v>
      </c>
      <c r="D222" s="275">
        <v>150</v>
      </c>
      <c r="E222" s="275">
        <v>150</v>
      </c>
      <c r="F222" s="291">
        <f t="shared" si="5"/>
        <v>0</v>
      </c>
      <c r="G222" s="227">
        <v>0</v>
      </c>
      <c r="H222" s="242" t="s">
        <v>536</v>
      </c>
      <c r="I222" s="193">
        <v>50000</v>
      </c>
      <c r="J222" s="193" t="s">
        <v>537</v>
      </c>
      <c r="K222" s="132">
        <f>SUM(I222*3)</f>
        <v>150000</v>
      </c>
    </row>
    <row r="223" spans="1:11" ht="12.75" customHeight="1">
      <c r="A223" s="230"/>
      <c r="B223" s="292"/>
      <c r="C223" s="209" t="s">
        <v>847</v>
      </c>
      <c r="D223" s="275">
        <v>0</v>
      </c>
      <c r="E223" s="275">
        <v>0</v>
      </c>
      <c r="F223" s="291">
        <f t="shared" si="5"/>
        <v>0</v>
      </c>
      <c r="G223" s="227">
        <v>0</v>
      </c>
      <c r="H223" s="194"/>
      <c r="I223" s="119"/>
      <c r="J223" s="119"/>
      <c r="K223" s="125"/>
    </row>
    <row r="224" spans="1:11" ht="12.75" customHeight="1">
      <c r="A224" s="230"/>
      <c r="B224" s="201" t="s">
        <v>126</v>
      </c>
      <c r="C224" s="209" t="s">
        <v>538</v>
      </c>
      <c r="D224" s="275">
        <v>100</v>
      </c>
      <c r="E224" s="275">
        <v>100</v>
      </c>
      <c r="F224" s="291">
        <f t="shared" si="5"/>
        <v>0</v>
      </c>
      <c r="G224" s="227">
        <v>0</v>
      </c>
      <c r="H224" s="242" t="s">
        <v>539</v>
      </c>
      <c r="I224" s="193">
        <v>50000</v>
      </c>
      <c r="J224" s="193" t="s">
        <v>127</v>
      </c>
      <c r="K224" s="132">
        <f>SUM(I224*2)</f>
        <v>100000</v>
      </c>
    </row>
    <row r="225" spans="1:11" ht="12.75" customHeight="1" thickBot="1">
      <c r="A225" s="243"/>
      <c r="B225" s="300"/>
      <c r="C225" s="425" t="s">
        <v>953</v>
      </c>
      <c r="D225" s="301">
        <v>50</v>
      </c>
      <c r="E225" s="245">
        <v>50</v>
      </c>
      <c r="F225" s="307">
        <f t="shared" si="5"/>
        <v>0</v>
      </c>
      <c r="G225" s="259"/>
      <c r="H225" s="282" t="s">
        <v>954</v>
      </c>
      <c r="I225" s="260">
        <v>50000</v>
      </c>
      <c r="J225" s="260" t="s">
        <v>109</v>
      </c>
      <c r="K225" s="272">
        <f>SUM(I225*1)</f>
        <v>50000</v>
      </c>
    </row>
    <row r="226" spans="1:11" ht="19.5" customHeight="1">
      <c r="A226" s="584" t="s">
        <v>5</v>
      </c>
      <c r="B226" s="574" t="s">
        <v>6</v>
      </c>
      <c r="C226" s="574" t="s">
        <v>7</v>
      </c>
      <c r="D226" s="574" t="s">
        <v>1076</v>
      </c>
      <c r="E226" s="574" t="s">
        <v>1077</v>
      </c>
      <c r="F226" s="577" t="s">
        <v>42</v>
      </c>
      <c r="G226" s="552"/>
      <c r="H226" s="578" t="s">
        <v>43</v>
      </c>
      <c r="I226" s="579"/>
      <c r="J226" s="579"/>
      <c r="K226" s="580"/>
    </row>
    <row r="227" spans="1:11" ht="19.5" customHeight="1" thickBot="1">
      <c r="A227" s="585"/>
      <c r="B227" s="575"/>
      <c r="C227" s="575"/>
      <c r="D227" s="575"/>
      <c r="E227" s="575"/>
      <c r="F227" s="518" t="s">
        <v>9</v>
      </c>
      <c r="G227" s="344" t="s">
        <v>44</v>
      </c>
      <c r="H227" s="581"/>
      <c r="I227" s="582"/>
      <c r="J227" s="582"/>
      <c r="K227" s="583"/>
    </row>
    <row r="228" spans="1:11" ht="33" customHeight="1">
      <c r="A228" s="248" t="s">
        <v>117</v>
      </c>
      <c r="B228" s="595" t="s">
        <v>156</v>
      </c>
      <c r="C228" s="593"/>
      <c r="D228" s="322">
        <f>SUM(D229:D244)</f>
        <v>600</v>
      </c>
      <c r="E228" s="322">
        <f>SUM(E229:E244)</f>
        <v>1000</v>
      </c>
      <c r="F228" s="280">
        <f>E228-D228</f>
        <v>400</v>
      </c>
      <c r="G228" s="220">
        <v>0</v>
      </c>
      <c r="H228" s="194" t="s">
        <v>137</v>
      </c>
      <c r="I228" s="119"/>
      <c r="J228" s="119"/>
      <c r="K228" s="125">
        <f>SUM(K229:K244)</f>
        <v>1000000</v>
      </c>
    </row>
    <row r="229" spans="1:11" ht="30.75" customHeight="1">
      <c r="A229" s="230"/>
      <c r="B229" s="216" t="s">
        <v>131</v>
      </c>
      <c r="C229" s="209" t="s">
        <v>132</v>
      </c>
      <c r="D229" s="275">
        <v>0</v>
      </c>
      <c r="E229" s="275">
        <v>500</v>
      </c>
      <c r="F229" s="226">
        <f>E229-D229</f>
        <v>500</v>
      </c>
      <c r="G229" s="227">
        <v>0</v>
      </c>
      <c r="H229" s="242" t="s">
        <v>134</v>
      </c>
      <c r="I229" s="193"/>
      <c r="J229" s="193"/>
      <c r="K229" s="132">
        <v>500000</v>
      </c>
    </row>
    <row r="230" spans="1:11" ht="30.75" customHeight="1">
      <c r="A230" s="230"/>
      <c r="B230" s="292"/>
      <c r="C230" s="209" t="s">
        <v>133</v>
      </c>
      <c r="D230" s="275">
        <v>0</v>
      </c>
      <c r="E230" s="275">
        <v>500</v>
      </c>
      <c r="F230" s="280">
        <f>E230-D230</f>
        <v>500</v>
      </c>
      <c r="G230" s="220">
        <v>0</v>
      </c>
      <c r="H230" s="242" t="s">
        <v>135</v>
      </c>
      <c r="I230" s="193"/>
      <c r="J230" s="193"/>
      <c r="K230" s="132">
        <v>500000</v>
      </c>
    </row>
    <row r="231" spans="1:11" ht="27" customHeight="1">
      <c r="A231" s="230"/>
      <c r="B231" s="293" t="s">
        <v>540</v>
      </c>
      <c r="C231" s="209" t="s">
        <v>138</v>
      </c>
      <c r="D231" s="275">
        <v>0</v>
      </c>
      <c r="E231" s="275">
        <v>0</v>
      </c>
      <c r="F231" s="226"/>
      <c r="G231" s="227"/>
      <c r="H231" s="242" t="s">
        <v>141</v>
      </c>
      <c r="I231" s="193"/>
      <c r="J231" s="193"/>
      <c r="K231" s="132"/>
    </row>
    <row r="232" spans="1:11" ht="27" customHeight="1">
      <c r="A232" s="230"/>
      <c r="B232" s="293"/>
      <c r="C232" s="209" t="s">
        <v>139</v>
      </c>
      <c r="D232" s="275"/>
      <c r="E232" s="275"/>
      <c r="F232" s="226"/>
      <c r="G232" s="227"/>
      <c r="H232" s="242" t="s">
        <v>142</v>
      </c>
      <c r="I232" s="193"/>
      <c r="J232" s="193"/>
      <c r="K232" s="132"/>
    </row>
    <row r="233" spans="1:11" ht="27" customHeight="1">
      <c r="A233" s="230"/>
      <c r="B233" s="306"/>
      <c r="C233" s="209" t="s">
        <v>140</v>
      </c>
      <c r="D233" s="275"/>
      <c r="E233" s="275"/>
      <c r="F233" s="226"/>
      <c r="G233" s="227"/>
      <c r="H233" s="242" t="s">
        <v>143</v>
      </c>
      <c r="I233" s="119"/>
      <c r="J233" s="119"/>
      <c r="K233" s="125"/>
    </row>
    <row r="234" spans="1:11" ht="27.75" customHeight="1">
      <c r="A234" s="230"/>
      <c r="B234" s="293" t="s">
        <v>144</v>
      </c>
      <c r="C234" s="209" t="s">
        <v>145</v>
      </c>
      <c r="D234" s="275"/>
      <c r="E234" s="275"/>
      <c r="F234" s="226"/>
      <c r="G234" s="227"/>
      <c r="H234" s="242" t="s">
        <v>145</v>
      </c>
      <c r="I234" s="193"/>
      <c r="J234" s="193"/>
      <c r="K234" s="132"/>
    </row>
    <row r="235" spans="1:11" ht="27.75" customHeight="1">
      <c r="A235" s="230"/>
      <c r="B235" s="293"/>
      <c r="C235" s="209" t="s">
        <v>146</v>
      </c>
      <c r="D235" s="275"/>
      <c r="E235" s="275"/>
      <c r="F235" s="226"/>
      <c r="G235" s="227"/>
      <c r="H235" s="242" t="s">
        <v>146</v>
      </c>
      <c r="I235" s="193"/>
      <c r="J235" s="193"/>
      <c r="K235" s="132"/>
    </row>
    <row r="236" spans="1:11" ht="27.75" customHeight="1">
      <c r="A236" s="230"/>
      <c r="B236" s="293"/>
      <c r="C236" s="209" t="s">
        <v>148</v>
      </c>
      <c r="D236" s="275"/>
      <c r="E236" s="275"/>
      <c r="F236" s="226"/>
      <c r="G236" s="227"/>
      <c r="H236" s="242" t="s">
        <v>148</v>
      </c>
      <c r="I236" s="193"/>
      <c r="J236" s="193"/>
      <c r="K236" s="132"/>
    </row>
    <row r="237" spans="1:11" ht="27.75" customHeight="1">
      <c r="A237" s="230"/>
      <c r="B237" s="293"/>
      <c r="C237" s="209" t="s">
        <v>147</v>
      </c>
      <c r="D237" s="275"/>
      <c r="E237" s="275"/>
      <c r="F237" s="226"/>
      <c r="G237" s="227"/>
      <c r="H237" s="242" t="s">
        <v>147</v>
      </c>
      <c r="I237" s="119"/>
      <c r="J237" s="119"/>
      <c r="K237" s="125"/>
    </row>
    <row r="238" spans="1:11" ht="27.75" customHeight="1">
      <c r="A238" s="230"/>
      <c r="B238" s="306"/>
      <c r="C238" s="209" t="s">
        <v>541</v>
      </c>
      <c r="D238" s="275">
        <v>0</v>
      </c>
      <c r="E238" s="185">
        <v>0</v>
      </c>
      <c r="F238" s="226"/>
      <c r="G238" s="227"/>
      <c r="H238" s="242" t="s">
        <v>541</v>
      </c>
      <c r="I238" s="193"/>
      <c r="J238" s="193"/>
      <c r="K238" s="132"/>
    </row>
    <row r="239" spans="1:11" ht="27.75" customHeight="1">
      <c r="A239" s="230"/>
      <c r="B239" s="293" t="s">
        <v>149</v>
      </c>
      <c r="C239" s="209" t="s">
        <v>150</v>
      </c>
      <c r="D239" s="275"/>
      <c r="E239" s="275"/>
      <c r="F239" s="226"/>
      <c r="G239" s="227"/>
      <c r="H239" s="242" t="s">
        <v>150</v>
      </c>
      <c r="I239" s="193"/>
      <c r="J239" s="193"/>
      <c r="K239" s="132"/>
    </row>
    <row r="240" spans="1:11" ht="27.75" customHeight="1">
      <c r="A240" s="230"/>
      <c r="B240" s="293"/>
      <c r="C240" s="209" t="s">
        <v>848</v>
      </c>
      <c r="D240" s="275"/>
      <c r="E240" s="275"/>
      <c r="F240" s="226"/>
      <c r="G240" s="227"/>
      <c r="H240" s="242" t="s">
        <v>151</v>
      </c>
      <c r="I240" s="119"/>
      <c r="J240" s="119"/>
      <c r="K240" s="125"/>
    </row>
    <row r="241" spans="1:11" ht="27.75" customHeight="1">
      <c r="A241" s="230"/>
      <c r="B241" s="216"/>
      <c r="C241" s="209" t="s">
        <v>152</v>
      </c>
      <c r="D241" s="275"/>
      <c r="E241" s="275"/>
      <c r="F241" s="226"/>
      <c r="G241" s="227"/>
      <c r="H241" s="242" t="s">
        <v>152</v>
      </c>
      <c r="I241" s="193"/>
      <c r="J241" s="193"/>
      <c r="K241" s="132"/>
    </row>
    <row r="242" spans="1:11" ht="27.75" customHeight="1">
      <c r="A242" s="230"/>
      <c r="B242" s="292"/>
      <c r="C242" s="209" t="s">
        <v>542</v>
      </c>
      <c r="D242" s="275"/>
      <c r="E242" s="275"/>
      <c r="F242" s="226"/>
      <c r="G242" s="227"/>
      <c r="H242" s="242" t="s">
        <v>542</v>
      </c>
      <c r="I242" s="193"/>
      <c r="J242" s="193"/>
      <c r="K242" s="132"/>
    </row>
    <row r="243" spans="1:11" ht="32.25" customHeight="1">
      <c r="A243" s="230"/>
      <c r="B243" s="289" t="s">
        <v>153</v>
      </c>
      <c r="C243" s="209" t="s">
        <v>154</v>
      </c>
      <c r="D243" s="275">
        <v>600</v>
      </c>
      <c r="E243" s="275">
        <v>0</v>
      </c>
      <c r="F243" s="280">
        <f>E243-D243</f>
        <v>-600</v>
      </c>
      <c r="G243" s="220">
        <v>0</v>
      </c>
      <c r="H243" s="242" t="s">
        <v>154</v>
      </c>
      <c r="I243" s="193"/>
      <c r="J243" s="193"/>
      <c r="K243" s="132"/>
    </row>
    <row r="244" spans="1:11" ht="32.25" customHeight="1" thickBot="1">
      <c r="A244" s="243"/>
      <c r="B244" s="300" t="s">
        <v>155</v>
      </c>
      <c r="C244" s="211" t="s">
        <v>543</v>
      </c>
      <c r="D244" s="245">
        <v>0</v>
      </c>
      <c r="E244" s="245">
        <v>0</v>
      </c>
      <c r="F244" s="307">
        <f>E244-D244</f>
        <v>0</v>
      </c>
      <c r="G244" s="259">
        <v>0</v>
      </c>
      <c r="H244" s="282" t="s">
        <v>136</v>
      </c>
      <c r="I244" s="260"/>
      <c r="J244" s="260"/>
      <c r="K244" s="272"/>
    </row>
    <row r="245" spans="1:11" ht="14.25" thickBot="1">
      <c r="A245" s="308"/>
      <c r="B245" s="308"/>
      <c r="C245" s="308"/>
      <c r="D245" s="308"/>
      <c r="E245" s="308"/>
      <c r="F245" s="308"/>
      <c r="G245" s="308"/>
      <c r="H245" s="308"/>
      <c r="I245" s="308"/>
      <c r="J245" s="308"/>
      <c r="K245" s="308"/>
    </row>
    <row r="246" spans="1:11" ht="13.5">
      <c r="A246" s="584" t="s">
        <v>5</v>
      </c>
      <c r="B246" s="574" t="s">
        <v>6</v>
      </c>
      <c r="C246" s="574" t="s">
        <v>7</v>
      </c>
      <c r="D246" s="574" t="s">
        <v>1076</v>
      </c>
      <c r="E246" s="574" t="s">
        <v>1077</v>
      </c>
      <c r="F246" s="577" t="s">
        <v>42</v>
      </c>
      <c r="G246" s="552"/>
      <c r="H246" s="578" t="s">
        <v>43</v>
      </c>
      <c r="I246" s="579"/>
      <c r="J246" s="579"/>
      <c r="K246" s="580"/>
    </row>
    <row r="247" spans="1:11" ht="14.25" thickBot="1">
      <c r="A247" s="585"/>
      <c r="B247" s="575"/>
      <c r="C247" s="575"/>
      <c r="D247" s="575"/>
      <c r="E247" s="575"/>
      <c r="F247" s="518" t="s">
        <v>9</v>
      </c>
      <c r="G247" s="344" t="s">
        <v>44</v>
      </c>
      <c r="H247" s="581"/>
      <c r="I247" s="582"/>
      <c r="J247" s="582"/>
      <c r="K247" s="583"/>
    </row>
    <row r="248" spans="1:11" ht="18.75" customHeight="1">
      <c r="A248" s="248" t="s">
        <v>117</v>
      </c>
      <c r="B248" s="595" t="s">
        <v>157</v>
      </c>
      <c r="C248" s="593"/>
      <c r="D248" s="322">
        <f>SUM(D249:D280)</f>
        <v>31660</v>
      </c>
      <c r="E248" s="322">
        <f>SUM(E249:E280)</f>
        <v>31740</v>
      </c>
      <c r="F248" s="299">
        <f aca="true" t="shared" si="6" ref="F248:F275">E248-D248</f>
        <v>80</v>
      </c>
      <c r="G248" s="220">
        <f>F248*100/D248</f>
        <v>0.2526847757422615</v>
      </c>
      <c r="H248" s="194" t="s">
        <v>162</v>
      </c>
      <c r="I248" s="119"/>
      <c r="J248" s="119"/>
      <c r="K248" s="125">
        <f>SUM(K249:K280)</f>
        <v>31740000</v>
      </c>
    </row>
    <row r="249" spans="1:11" ht="15.75" customHeight="1">
      <c r="A249" s="230"/>
      <c r="B249" s="201" t="s">
        <v>158</v>
      </c>
      <c r="C249" s="209" t="s">
        <v>163</v>
      </c>
      <c r="D249" s="275">
        <v>400</v>
      </c>
      <c r="E249" s="275">
        <v>400</v>
      </c>
      <c r="F249" s="291">
        <f t="shared" si="6"/>
        <v>0</v>
      </c>
      <c r="G249" s="227">
        <f>F249*100/D249</f>
        <v>0</v>
      </c>
      <c r="H249" s="330" t="s">
        <v>593</v>
      </c>
      <c r="I249" s="193">
        <v>200000</v>
      </c>
      <c r="J249" s="193" t="s">
        <v>165</v>
      </c>
      <c r="K249" s="132">
        <f>SUM(I249*2)</f>
        <v>400000</v>
      </c>
    </row>
    <row r="250" spans="1:11" ht="15.75" customHeight="1">
      <c r="A250" s="230"/>
      <c r="B250" s="216" t="s">
        <v>159</v>
      </c>
      <c r="C250" s="209" t="s">
        <v>160</v>
      </c>
      <c r="D250" s="275">
        <v>120</v>
      </c>
      <c r="E250" s="275">
        <v>200</v>
      </c>
      <c r="F250" s="291">
        <f t="shared" si="6"/>
        <v>80</v>
      </c>
      <c r="G250" s="227">
        <f>F250*100/D250</f>
        <v>66.66666666666667</v>
      </c>
      <c r="H250" s="242" t="s">
        <v>544</v>
      </c>
      <c r="I250" s="193">
        <v>100000</v>
      </c>
      <c r="J250" s="193" t="s">
        <v>127</v>
      </c>
      <c r="K250" s="132">
        <f>SUM(I250*2)</f>
        <v>200000</v>
      </c>
    </row>
    <row r="251" spans="1:11" ht="15.75" customHeight="1">
      <c r="A251" s="230"/>
      <c r="B251" s="293"/>
      <c r="C251" s="209" t="s">
        <v>161</v>
      </c>
      <c r="D251" s="275">
        <v>1200</v>
      </c>
      <c r="E251" s="275">
        <v>600</v>
      </c>
      <c r="F251" s="291">
        <f t="shared" si="6"/>
        <v>-600</v>
      </c>
      <c r="G251" s="227">
        <v>0</v>
      </c>
      <c r="H251" s="242" t="s">
        <v>164</v>
      </c>
      <c r="I251" s="193">
        <v>100000</v>
      </c>
      <c r="J251" s="193" t="s">
        <v>841</v>
      </c>
      <c r="K251" s="132">
        <f>SUM(I251*6)</f>
        <v>600000</v>
      </c>
    </row>
    <row r="252" spans="1:11" ht="15.75" customHeight="1">
      <c r="A252" s="230"/>
      <c r="B252" s="306"/>
      <c r="C252" s="209" t="s">
        <v>545</v>
      </c>
      <c r="D252" s="275">
        <v>1500</v>
      </c>
      <c r="E252" s="275">
        <v>2000</v>
      </c>
      <c r="F252" s="291">
        <f t="shared" si="6"/>
        <v>500</v>
      </c>
      <c r="G252" s="227">
        <v>0</v>
      </c>
      <c r="H252" s="330" t="s">
        <v>592</v>
      </c>
      <c r="I252" s="193">
        <v>2000000</v>
      </c>
      <c r="J252" s="193" t="s">
        <v>109</v>
      </c>
      <c r="K252" s="132">
        <f>SUM(I252*1)</f>
        <v>2000000</v>
      </c>
    </row>
    <row r="253" spans="1:11" ht="15" customHeight="1">
      <c r="A253" s="230"/>
      <c r="B253" s="201" t="s">
        <v>546</v>
      </c>
      <c r="C253" s="209" t="s">
        <v>850</v>
      </c>
      <c r="D253" s="275">
        <v>0</v>
      </c>
      <c r="E253" s="275">
        <v>200</v>
      </c>
      <c r="F253" s="291">
        <f t="shared" si="6"/>
        <v>200</v>
      </c>
      <c r="G253" s="227">
        <v>0</v>
      </c>
      <c r="H253" s="336" t="s">
        <v>850</v>
      </c>
      <c r="I253" s="119">
        <v>100000</v>
      </c>
      <c r="J253" s="193" t="s">
        <v>165</v>
      </c>
      <c r="K253" s="132">
        <f>SUM(I253*2)</f>
        <v>200000</v>
      </c>
    </row>
    <row r="254" spans="1:11" ht="15" customHeight="1">
      <c r="A254" s="230"/>
      <c r="B254" s="216" t="s">
        <v>548</v>
      </c>
      <c r="C254" s="209" t="s">
        <v>851</v>
      </c>
      <c r="D254" s="275">
        <v>0</v>
      </c>
      <c r="E254" s="275">
        <v>300</v>
      </c>
      <c r="F254" s="291">
        <f t="shared" si="6"/>
        <v>300</v>
      </c>
      <c r="G254" s="227">
        <v>0</v>
      </c>
      <c r="H254" s="336" t="s">
        <v>851</v>
      </c>
      <c r="I254" s="193">
        <v>150000</v>
      </c>
      <c r="J254" s="193" t="s">
        <v>127</v>
      </c>
      <c r="K254" s="132">
        <f>SUM(I254*2)</f>
        <v>300000</v>
      </c>
    </row>
    <row r="255" spans="1:11" ht="15" customHeight="1">
      <c r="A255" s="230"/>
      <c r="B255" s="216"/>
      <c r="C255" s="209" t="s">
        <v>871</v>
      </c>
      <c r="D255" s="275">
        <v>1000</v>
      </c>
      <c r="E255" s="275">
        <v>1000</v>
      </c>
      <c r="F255" s="291">
        <f t="shared" si="6"/>
        <v>0</v>
      </c>
      <c r="G255" s="227">
        <v>0</v>
      </c>
      <c r="H255" s="242" t="s">
        <v>547</v>
      </c>
      <c r="I255" s="119">
        <v>1000000</v>
      </c>
      <c r="J255" s="119" t="s">
        <v>109</v>
      </c>
      <c r="K255" s="132">
        <f>SUM(I255*1)</f>
        <v>1000000</v>
      </c>
    </row>
    <row r="256" spans="1:11" ht="15" customHeight="1">
      <c r="A256" s="230"/>
      <c r="B256" s="216"/>
      <c r="C256" s="209" t="s">
        <v>167</v>
      </c>
      <c r="D256" s="275">
        <v>500</v>
      </c>
      <c r="E256" s="275">
        <v>500</v>
      </c>
      <c r="F256" s="291">
        <f t="shared" si="6"/>
        <v>0</v>
      </c>
      <c r="G256" s="227">
        <v>0</v>
      </c>
      <c r="H256" s="242" t="s">
        <v>872</v>
      </c>
      <c r="I256" s="119">
        <v>250000</v>
      </c>
      <c r="J256" s="119" t="s">
        <v>127</v>
      </c>
      <c r="K256" s="132">
        <f>SUM(I256*2)</f>
        <v>500000</v>
      </c>
    </row>
    <row r="257" spans="1:11" ht="15" customHeight="1">
      <c r="A257" s="230"/>
      <c r="B257" s="216"/>
      <c r="C257" s="209" t="s">
        <v>168</v>
      </c>
      <c r="D257" s="275">
        <v>800</v>
      </c>
      <c r="E257" s="275">
        <v>200</v>
      </c>
      <c r="F257" s="291">
        <f t="shared" si="6"/>
        <v>-600</v>
      </c>
      <c r="G257" s="227">
        <v>0</v>
      </c>
      <c r="H257" s="242" t="s">
        <v>168</v>
      </c>
      <c r="I257" s="119">
        <v>100000</v>
      </c>
      <c r="J257" s="119" t="s">
        <v>849</v>
      </c>
      <c r="K257" s="132">
        <f>SUM(I257*2)</f>
        <v>200000</v>
      </c>
    </row>
    <row r="258" spans="1:11" ht="15" customHeight="1">
      <c r="A258" s="230"/>
      <c r="B258" s="216"/>
      <c r="C258" s="209" t="s">
        <v>171</v>
      </c>
      <c r="D258" s="275">
        <v>400</v>
      </c>
      <c r="E258" s="275">
        <v>100</v>
      </c>
      <c r="F258" s="291">
        <f t="shared" si="6"/>
        <v>-300</v>
      </c>
      <c r="G258" s="227">
        <v>0</v>
      </c>
      <c r="H258" s="242" t="s">
        <v>171</v>
      </c>
      <c r="I258" s="119">
        <v>100000</v>
      </c>
      <c r="J258" s="119" t="s">
        <v>109</v>
      </c>
      <c r="K258" s="132">
        <f>SUM(I258*1)</f>
        <v>100000</v>
      </c>
    </row>
    <row r="259" spans="1:11" ht="15" customHeight="1">
      <c r="A259" s="230"/>
      <c r="B259" s="216"/>
      <c r="C259" s="209" t="s">
        <v>169</v>
      </c>
      <c r="D259" s="275">
        <v>200</v>
      </c>
      <c r="E259" s="275">
        <v>100</v>
      </c>
      <c r="F259" s="291">
        <f t="shared" si="6"/>
        <v>-100</v>
      </c>
      <c r="G259" s="227">
        <v>0</v>
      </c>
      <c r="H259" s="421" t="s">
        <v>169</v>
      </c>
      <c r="I259" s="119">
        <v>100000</v>
      </c>
      <c r="J259" s="119" t="s">
        <v>109</v>
      </c>
      <c r="K259" s="132">
        <f>SUM(I259*1)</f>
        <v>100000</v>
      </c>
    </row>
    <row r="260" spans="1:11" ht="15" customHeight="1">
      <c r="A260" s="230"/>
      <c r="B260" s="292"/>
      <c r="C260" s="212" t="s">
        <v>170</v>
      </c>
      <c r="D260" s="232">
        <v>200</v>
      </c>
      <c r="E260" s="232">
        <v>100</v>
      </c>
      <c r="F260" s="234">
        <f t="shared" si="6"/>
        <v>-100</v>
      </c>
      <c r="G260" s="235">
        <v>0</v>
      </c>
      <c r="H260" s="422" t="s">
        <v>170</v>
      </c>
      <c r="I260" s="249">
        <v>100000</v>
      </c>
      <c r="J260" s="249" t="s">
        <v>109</v>
      </c>
      <c r="K260" s="309">
        <f>SUM(I260*1)</f>
        <v>100000</v>
      </c>
    </row>
    <row r="261" spans="1:11" ht="15" customHeight="1">
      <c r="A261" s="230"/>
      <c r="B261" s="293" t="s">
        <v>172</v>
      </c>
      <c r="C261" s="212" t="s">
        <v>173</v>
      </c>
      <c r="D261" s="232">
        <v>7000</v>
      </c>
      <c r="E261" s="232">
        <v>7000</v>
      </c>
      <c r="F261" s="234">
        <f t="shared" si="6"/>
        <v>0</v>
      </c>
      <c r="G261" s="235">
        <f>F261*100/D261</f>
        <v>0</v>
      </c>
      <c r="H261" s="315" t="s">
        <v>173</v>
      </c>
      <c r="I261" s="341" t="s">
        <v>279</v>
      </c>
      <c r="J261" s="341"/>
      <c r="K261" s="309">
        <v>3000000</v>
      </c>
    </row>
    <row r="262" spans="1:11" ht="15" customHeight="1">
      <c r="A262" s="230"/>
      <c r="B262" s="293"/>
      <c r="C262" s="208"/>
      <c r="D262" s="236"/>
      <c r="E262" s="236"/>
      <c r="F262" s="310"/>
      <c r="G262" s="253"/>
      <c r="H262" s="334"/>
      <c r="I262" s="119" t="s">
        <v>280</v>
      </c>
      <c r="J262" s="119"/>
      <c r="K262" s="125">
        <v>4000000</v>
      </c>
    </row>
    <row r="263" spans="1:11" ht="15" customHeight="1">
      <c r="A263" s="230"/>
      <c r="B263" s="293"/>
      <c r="C263" s="212" t="s">
        <v>174</v>
      </c>
      <c r="D263" s="232">
        <v>8000</v>
      </c>
      <c r="E263" s="232">
        <v>8000</v>
      </c>
      <c r="F263" s="234">
        <f t="shared" si="6"/>
        <v>0</v>
      </c>
      <c r="G263" s="235">
        <f>F263*100/D263</f>
        <v>0</v>
      </c>
      <c r="H263" s="315" t="s">
        <v>174</v>
      </c>
      <c r="I263" s="341" t="s">
        <v>279</v>
      </c>
      <c r="J263" s="341"/>
      <c r="K263" s="309">
        <v>3000000</v>
      </c>
    </row>
    <row r="264" spans="1:11" ht="15" customHeight="1">
      <c r="A264" s="230"/>
      <c r="B264" s="293"/>
      <c r="C264" s="238"/>
      <c r="D264" s="239"/>
      <c r="E264" s="239"/>
      <c r="F264" s="299"/>
      <c r="G264" s="220"/>
      <c r="H264" s="256"/>
      <c r="I264" s="119" t="s">
        <v>280</v>
      </c>
      <c r="J264" s="119"/>
      <c r="K264" s="125">
        <v>5000000</v>
      </c>
    </row>
    <row r="265" spans="1:11" ht="15" customHeight="1">
      <c r="A265" s="230"/>
      <c r="B265" s="293"/>
      <c r="C265" s="238" t="s">
        <v>549</v>
      </c>
      <c r="D265" s="239">
        <v>2000</v>
      </c>
      <c r="E265" s="239">
        <v>2000</v>
      </c>
      <c r="F265" s="280">
        <f t="shared" si="6"/>
        <v>0</v>
      </c>
      <c r="G265" s="227">
        <f>F265*100/D265</f>
        <v>0</v>
      </c>
      <c r="H265" s="256" t="s">
        <v>549</v>
      </c>
      <c r="I265" s="193"/>
      <c r="J265" s="193"/>
      <c r="K265" s="132">
        <v>2000000</v>
      </c>
    </row>
    <row r="266" spans="1:11" ht="15" customHeight="1">
      <c r="A266" s="230"/>
      <c r="B266" s="293"/>
      <c r="C266" s="209" t="s">
        <v>175</v>
      </c>
      <c r="D266" s="275">
        <v>500</v>
      </c>
      <c r="E266" s="275">
        <v>500</v>
      </c>
      <c r="F266" s="226">
        <f t="shared" si="6"/>
        <v>0</v>
      </c>
      <c r="G266" s="227">
        <f>F266*100/D266</f>
        <v>0</v>
      </c>
      <c r="H266" s="305" t="s">
        <v>175</v>
      </c>
      <c r="I266" s="119"/>
      <c r="J266" s="119"/>
      <c r="K266" s="125">
        <v>500000</v>
      </c>
    </row>
    <row r="267" spans="1:11" ht="15" customHeight="1">
      <c r="A267" s="230"/>
      <c r="B267" s="293"/>
      <c r="C267" s="209" t="s">
        <v>176</v>
      </c>
      <c r="D267" s="275">
        <v>1000</v>
      </c>
      <c r="E267" s="275">
        <v>1000</v>
      </c>
      <c r="F267" s="226">
        <f t="shared" si="6"/>
        <v>0</v>
      </c>
      <c r="G267" s="227">
        <f>F267*100/D267</f>
        <v>0</v>
      </c>
      <c r="H267" s="305" t="s">
        <v>176</v>
      </c>
      <c r="I267" s="119"/>
      <c r="J267" s="119"/>
      <c r="K267" s="125">
        <v>1000000</v>
      </c>
    </row>
    <row r="268" spans="1:11" ht="15" customHeight="1">
      <c r="A268" s="230"/>
      <c r="B268" s="293"/>
      <c r="C268" s="209" t="s">
        <v>180</v>
      </c>
      <c r="D268" s="275">
        <v>1200</v>
      </c>
      <c r="E268" s="275">
        <v>1200</v>
      </c>
      <c r="F268" s="226">
        <f t="shared" si="6"/>
        <v>0</v>
      </c>
      <c r="G268" s="227">
        <f>F268*100/D268</f>
        <v>0</v>
      </c>
      <c r="H268" s="305" t="s">
        <v>180</v>
      </c>
      <c r="I268" s="119">
        <v>300000</v>
      </c>
      <c r="J268" s="119" t="s">
        <v>101</v>
      </c>
      <c r="K268" s="309">
        <f>SUM(I268*4)</f>
        <v>1200000</v>
      </c>
    </row>
    <row r="269" spans="1:11" ht="15" customHeight="1">
      <c r="A269" s="230"/>
      <c r="B269" s="293"/>
      <c r="C269" s="209" t="s">
        <v>177</v>
      </c>
      <c r="D269" s="275">
        <v>340</v>
      </c>
      <c r="E269" s="275">
        <v>340</v>
      </c>
      <c r="F269" s="226">
        <f t="shared" si="6"/>
        <v>0</v>
      </c>
      <c r="G269" s="227">
        <f>F269*100/D269</f>
        <v>0</v>
      </c>
      <c r="H269" s="305" t="s">
        <v>177</v>
      </c>
      <c r="I269" s="119"/>
      <c r="J269" s="119"/>
      <c r="K269" s="132">
        <v>340000</v>
      </c>
    </row>
    <row r="270" spans="1:11" ht="15" customHeight="1">
      <c r="A270" s="230"/>
      <c r="B270" s="293"/>
      <c r="C270" s="209" t="s">
        <v>178</v>
      </c>
      <c r="D270" s="275">
        <v>0</v>
      </c>
      <c r="E270" s="275">
        <v>0</v>
      </c>
      <c r="F270" s="226">
        <f t="shared" si="6"/>
        <v>0</v>
      </c>
      <c r="G270" s="227">
        <v>0</v>
      </c>
      <c r="H270" s="305" t="s">
        <v>178</v>
      </c>
      <c r="I270" s="119"/>
      <c r="J270" s="119"/>
      <c r="K270" s="125"/>
    </row>
    <row r="271" spans="1:11" ht="15" customHeight="1">
      <c r="A271" s="230"/>
      <c r="B271" s="306"/>
      <c r="C271" s="212" t="s">
        <v>179</v>
      </c>
      <c r="D271" s="294">
        <v>300</v>
      </c>
      <c r="E271" s="294">
        <v>300</v>
      </c>
      <c r="F271" s="241">
        <f t="shared" si="6"/>
        <v>0</v>
      </c>
      <c r="G271" s="235">
        <v>0</v>
      </c>
      <c r="H271" s="315" t="s">
        <v>873</v>
      </c>
      <c r="I271" s="119">
        <v>150000</v>
      </c>
      <c r="J271" s="119" t="s">
        <v>127</v>
      </c>
      <c r="K271" s="309">
        <f>SUM(I271*2)</f>
        <v>300000</v>
      </c>
    </row>
    <row r="272" spans="1:11" ht="15" customHeight="1">
      <c r="A272" s="230"/>
      <c r="B272" s="293" t="s">
        <v>550</v>
      </c>
      <c r="C272" s="212" t="s">
        <v>182</v>
      </c>
      <c r="D272" s="232">
        <v>800</v>
      </c>
      <c r="E272" s="232">
        <v>800</v>
      </c>
      <c r="F272" s="241">
        <f t="shared" si="6"/>
        <v>0</v>
      </c>
      <c r="G272" s="235">
        <f>F272*100/D272</f>
        <v>0</v>
      </c>
      <c r="H272" s="315" t="s">
        <v>182</v>
      </c>
      <c r="I272" s="341">
        <v>50000</v>
      </c>
      <c r="J272" s="341" t="s">
        <v>53</v>
      </c>
      <c r="K272" s="309">
        <f>SUM(I272*12)</f>
        <v>600000</v>
      </c>
    </row>
    <row r="273" spans="1:11" ht="15" customHeight="1">
      <c r="A273" s="230"/>
      <c r="B273" s="293" t="s">
        <v>181</v>
      </c>
      <c r="C273" s="238"/>
      <c r="D273" s="239"/>
      <c r="E273" s="239"/>
      <c r="F273" s="280"/>
      <c r="G273" s="220"/>
      <c r="H273" s="256" t="s">
        <v>184</v>
      </c>
      <c r="I273" s="119">
        <v>50000</v>
      </c>
      <c r="J273" s="119" t="s">
        <v>101</v>
      </c>
      <c r="K273" s="125">
        <f>SUM(I273*4)</f>
        <v>200000</v>
      </c>
    </row>
    <row r="274" spans="1:11" ht="18" customHeight="1">
      <c r="A274" s="230"/>
      <c r="B274" s="293"/>
      <c r="C274" s="238" t="s">
        <v>551</v>
      </c>
      <c r="D274" s="239">
        <v>200</v>
      </c>
      <c r="E274" s="239">
        <v>200</v>
      </c>
      <c r="F274" s="280">
        <f t="shared" si="6"/>
        <v>0</v>
      </c>
      <c r="G274" s="227">
        <v>0</v>
      </c>
      <c r="H274" s="256" t="s">
        <v>551</v>
      </c>
      <c r="I274" s="119">
        <v>200000</v>
      </c>
      <c r="J274" s="119" t="s">
        <v>109</v>
      </c>
      <c r="K274" s="132">
        <f>SUM(I274*1)</f>
        <v>200000</v>
      </c>
    </row>
    <row r="275" spans="1:11" ht="18" customHeight="1">
      <c r="A275" s="230"/>
      <c r="B275" s="216"/>
      <c r="C275" s="212" t="s">
        <v>183</v>
      </c>
      <c r="D275" s="232">
        <v>1300</v>
      </c>
      <c r="E275" s="232">
        <v>2000</v>
      </c>
      <c r="F275" s="241">
        <f t="shared" si="6"/>
        <v>700</v>
      </c>
      <c r="G275" s="227">
        <f>F275*100/D275</f>
        <v>53.84615384615385</v>
      </c>
      <c r="H275" s="315" t="s">
        <v>183</v>
      </c>
      <c r="I275" s="193">
        <v>2000000</v>
      </c>
      <c r="J275" s="193" t="s">
        <v>109</v>
      </c>
      <c r="K275" s="132">
        <f>SUM(I275*1)</f>
        <v>2000000</v>
      </c>
    </row>
    <row r="276" spans="1:11" ht="18" customHeight="1">
      <c r="A276" s="230"/>
      <c r="B276" s="293"/>
      <c r="C276" s="212" t="s">
        <v>552</v>
      </c>
      <c r="D276" s="232">
        <v>2700</v>
      </c>
      <c r="E276" s="232">
        <v>2700</v>
      </c>
      <c r="F276" s="234">
        <f>E276-D276</f>
        <v>0</v>
      </c>
      <c r="G276" s="253">
        <f>F276*100/D276</f>
        <v>0</v>
      </c>
      <c r="H276" s="305" t="s">
        <v>185</v>
      </c>
      <c r="I276" s="193"/>
      <c r="J276" s="193"/>
      <c r="K276" s="132">
        <v>500000</v>
      </c>
    </row>
    <row r="277" spans="1:11" ht="15" customHeight="1">
      <c r="A277" s="230"/>
      <c r="B277" s="293"/>
      <c r="C277" s="208"/>
      <c r="D277" s="236"/>
      <c r="E277" s="236"/>
      <c r="F277" s="252"/>
      <c r="G277" s="253"/>
      <c r="H277" s="305" t="s">
        <v>553</v>
      </c>
      <c r="I277" s="193"/>
      <c r="J277" s="193"/>
      <c r="K277" s="132">
        <v>808000</v>
      </c>
    </row>
    <row r="278" spans="1:11" ht="15" customHeight="1">
      <c r="A278" s="230"/>
      <c r="B278" s="293"/>
      <c r="C278" s="208"/>
      <c r="D278" s="236"/>
      <c r="E278" s="236"/>
      <c r="F278" s="252"/>
      <c r="G278" s="253"/>
      <c r="H278" s="305" t="s">
        <v>186</v>
      </c>
      <c r="I278" s="193"/>
      <c r="J278" s="193"/>
      <c r="K278" s="132">
        <v>400000</v>
      </c>
    </row>
    <row r="279" spans="1:11" ht="15" customHeight="1">
      <c r="A279" s="230"/>
      <c r="B279" s="293"/>
      <c r="C279" s="208"/>
      <c r="D279" s="236"/>
      <c r="E279" s="236"/>
      <c r="F279" s="252"/>
      <c r="G279" s="253"/>
      <c r="H279" s="305" t="s">
        <v>187</v>
      </c>
      <c r="I279" s="193"/>
      <c r="J279" s="193"/>
      <c r="K279" s="132">
        <v>200000</v>
      </c>
    </row>
    <row r="280" spans="1:11" ht="15" customHeight="1" thickBot="1">
      <c r="A280" s="243"/>
      <c r="B280" s="312"/>
      <c r="C280" s="211"/>
      <c r="D280" s="245"/>
      <c r="E280" s="245"/>
      <c r="F280" s="258"/>
      <c r="G280" s="259"/>
      <c r="H280" s="335" t="s">
        <v>188</v>
      </c>
      <c r="I280" s="261">
        <v>66000</v>
      </c>
      <c r="J280" s="261" t="s">
        <v>166</v>
      </c>
      <c r="K280" s="262">
        <f>SUM(I280*12)</f>
        <v>792000</v>
      </c>
    </row>
    <row r="281" spans="1:11" ht="13.5">
      <c r="A281" s="584" t="s">
        <v>5</v>
      </c>
      <c r="B281" s="574" t="s">
        <v>6</v>
      </c>
      <c r="C281" s="574" t="s">
        <v>7</v>
      </c>
      <c r="D281" s="574" t="s">
        <v>1076</v>
      </c>
      <c r="E281" s="574" t="s">
        <v>1077</v>
      </c>
      <c r="F281" s="577" t="s">
        <v>42</v>
      </c>
      <c r="G281" s="552"/>
      <c r="H281" s="578" t="s">
        <v>43</v>
      </c>
      <c r="I281" s="579"/>
      <c r="J281" s="579"/>
      <c r="K281" s="580"/>
    </row>
    <row r="282" spans="1:11" ht="18" customHeight="1" thickBot="1">
      <c r="A282" s="585"/>
      <c r="B282" s="575"/>
      <c r="C282" s="575"/>
      <c r="D282" s="575"/>
      <c r="E282" s="575"/>
      <c r="F282" s="518" t="s">
        <v>9</v>
      </c>
      <c r="G282" s="344" t="s">
        <v>44</v>
      </c>
      <c r="H282" s="581"/>
      <c r="I282" s="582"/>
      <c r="J282" s="582"/>
      <c r="K282" s="583"/>
    </row>
    <row r="283" spans="1:11" ht="21.75" customHeight="1">
      <c r="A283" s="248" t="s">
        <v>117</v>
      </c>
      <c r="B283" s="595" t="s">
        <v>189</v>
      </c>
      <c r="C283" s="593"/>
      <c r="D283" s="322">
        <f>SUM(D284:D306)</f>
        <v>10560</v>
      </c>
      <c r="E283" s="322">
        <f>SUM(E284:E306)</f>
        <v>10560</v>
      </c>
      <c r="F283" s="299">
        <f>E283-D283</f>
        <v>0</v>
      </c>
      <c r="G283" s="220">
        <f>F283*100/D283</f>
        <v>0</v>
      </c>
      <c r="H283" s="194" t="s">
        <v>554</v>
      </c>
      <c r="I283" s="119"/>
      <c r="J283" s="119"/>
      <c r="K283" s="125">
        <f>SUM(K284:K306)</f>
        <v>10560000</v>
      </c>
    </row>
    <row r="284" spans="1:11" ht="17.25" customHeight="1">
      <c r="A284" s="230"/>
      <c r="B284" s="201" t="s">
        <v>555</v>
      </c>
      <c r="C284" s="209" t="s">
        <v>190</v>
      </c>
      <c r="D284" s="596">
        <v>360</v>
      </c>
      <c r="E284" s="596">
        <v>120</v>
      </c>
      <c r="F284" s="605">
        <f>E284-D284</f>
        <v>-240</v>
      </c>
      <c r="G284" s="606">
        <f>F284*100/D284</f>
        <v>-66.66666666666667</v>
      </c>
      <c r="H284" s="336" t="s">
        <v>579</v>
      </c>
      <c r="I284" s="193"/>
      <c r="J284" s="193"/>
      <c r="K284" s="132"/>
    </row>
    <row r="285" spans="1:11" ht="17.25" customHeight="1">
      <c r="A285" s="230"/>
      <c r="B285" s="292"/>
      <c r="C285" s="212" t="s">
        <v>556</v>
      </c>
      <c r="D285" s="597"/>
      <c r="E285" s="597"/>
      <c r="F285" s="597"/>
      <c r="G285" s="597"/>
      <c r="H285" s="242" t="s">
        <v>557</v>
      </c>
      <c r="I285" s="193">
        <v>10000</v>
      </c>
      <c r="J285" s="193" t="s">
        <v>166</v>
      </c>
      <c r="K285" s="132">
        <f>SUM(I285*12)</f>
        <v>120000</v>
      </c>
    </row>
    <row r="286" spans="1:11" ht="17.25" customHeight="1">
      <c r="A286" s="230"/>
      <c r="B286" s="313" t="s">
        <v>883</v>
      </c>
      <c r="C286" s="212" t="s">
        <v>874</v>
      </c>
      <c r="D286" s="232">
        <v>1740</v>
      </c>
      <c r="E286" s="232">
        <v>1630</v>
      </c>
      <c r="F286" s="241">
        <f>E286-D286</f>
        <v>-110</v>
      </c>
      <c r="G286" s="235">
        <f>F286*100/D286</f>
        <v>-6.32183908045977</v>
      </c>
      <c r="H286" s="330" t="s">
        <v>877</v>
      </c>
      <c r="I286" s="119">
        <v>30000</v>
      </c>
      <c r="J286" s="193" t="s">
        <v>878</v>
      </c>
      <c r="K286" s="132">
        <f>SUM(I286*8*4)</f>
        <v>960000</v>
      </c>
    </row>
    <row r="287" spans="1:11" ht="17.25" customHeight="1">
      <c r="A287" s="230"/>
      <c r="B287" s="293"/>
      <c r="C287" s="208" t="s">
        <v>875</v>
      </c>
      <c r="D287" s="236"/>
      <c r="E287" s="236"/>
      <c r="F287" s="252"/>
      <c r="G287" s="253"/>
      <c r="H287" s="242" t="s">
        <v>879</v>
      </c>
      <c r="I287" s="119">
        <v>7000</v>
      </c>
      <c r="J287" s="193" t="s">
        <v>880</v>
      </c>
      <c r="K287" s="132">
        <f>SUM(I287*10)</f>
        <v>70000</v>
      </c>
    </row>
    <row r="288" spans="1:11" ht="17.25" customHeight="1">
      <c r="A288" s="230"/>
      <c r="B288" s="306"/>
      <c r="C288" s="238" t="s">
        <v>876</v>
      </c>
      <c r="D288" s="239"/>
      <c r="E288" s="239"/>
      <c r="F288" s="280"/>
      <c r="G288" s="220"/>
      <c r="H288" s="242" t="s">
        <v>881</v>
      </c>
      <c r="I288" s="119">
        <v>25000</v>
      </c>
      <c r="J288" s="193" t="s">
        <v>882</v>
      </c>
      <c r="K288" s="132">
        <f>SUM(I288*12*2)</f>
        <v>600000</v>
      </c>
    </row>
    <row r="289" spans="1:11" ht="17.25" customHeight="1">
      <c r="A289" s="230"/>
      <c r="B289" s="216" t="s">
        <v>884</v>
      </c>
      <c r="C289" s="256" t="s">
        <v>886</v>
      </c>
      <c r="D289" s="239">
        <v>0</v>
      </c>
      <c r="E289" s="314">
        <v>0</v>
      </c>
      <c r="F289" s="299">
        <f>E289-D289</f>
        <v>0</v>
      </c>
      <c r="G289" s="220">
        <v>0</v>
      </c>
      <c r="H289" s="330" t="s">
        <v>887</v>
      </c>
      <c r="I289" s="119"/>
      <c r="J289" s="119"/>
      <c r="K289" s="132"/>
    </row>
    <row r="290" spans="1:11" ht="17.25" customHeight="1">
      <c r="A290" s="230"/>
      <c r="B290" s="216"/>
      <c r="C290" s="315" t="s">
        <v>885</v>
      </c>
      <c r="D290" s="232">
        <v>1020</v>
      </c>
      <c r="E290" s="316">
        <v>146</v>
      </c>
      <c r="F290" s="234">
        <f>E290-D290</f>
        <v>-874</v>
      </c>
      <c r="G290" s="235">
        <v>0</v>
      </c>
      <c r="H290" s="340" t="s">
        <v>192</v>
      </c>
      <c r="I290" s="341"/>
      <c r="J290" s="341"/>
      <c r="K290" s="309">
        <v>0</v>
      </c>
    </row>
    <row r="291" spans="1:11" ht="17.25" customHeight="1">
      <c r="A291" s="230"/>
      <c r="B291" s="293"/>
      <c r="C291" s="208"/>
      <c r="D291" s="236"/>
      <c r="E291" s="236"/>
      <c r="F291" s="252"/>
      <c r="G291" s="253"/>
      <c r="H291" s="333" t="s">
        <v>888</v>
      </c>
      <c r="I291" s="249"/>
      <c r="J291" s="249"/>
      <c r="K291" s="254">
        <v>46000</v>
      </c>
    </row>
    <row r="292" spans="1:11" ht="17.25" customHeight="1">
      <c r="A292" s="230"/>
      <c r="B292" s="293"/>
      <c r="C292" s="208"/>
      <c r="D292" s="236"/>
      <c r="E292" s="236"/>
      <c r="F292" s="252"/>
      <c r="G292" s="253"/>
      <c r="H292" s="333" t="s">
        <v>889</v>
      </c>
      <c r="I292" s="249">
        <v>5000</v>
      </c>
      <c r="J292" s="249" t="s">
        <v>891</v>
      </c>
      <c r="K292" s="254">
        <f>SUM(I292*10)</f>
        <v>50000</v>
      </c>
    </row>
    <row r="293" spans="1:11" ht="17.25" customHeight="1">
      <c r="A293" s="230"/>
      <c r="B293" s="293"/>
      <c r="C293" s="238"/>
      <c r="D293" s="239"/>
      <c r="E293" s="239"/>
      <c r="F293" s="280"/>
      <c r="G293" s="220"/>
      <c r="H293" s="194" t="s">
        <v>890</v>
      </c>
      <c r="I293" s="119">
        <v>5000</v>
      </c>
      <c r="J293" s="119" t="s">
        <v>891</v>
      </c>
      <c r="K293" s="125">
        <f>SUM(I293*10)</f>
        <v>50000</v>
      </c>
    </row>
    <row r="294" spans="1:11" ht="17.25" customHeight="1">
      <c r="A294" s="230"/>
      <c r="B294" s="216"/>
      <c r="C294" s="212" t="s">
        <v>558</v>
      </c>
      <c r="D294" s="232">
        <v>2360</v>
      </c>
      <c r="E294" s="232">
        <v>2234</v>
      </c>
      <c r="F294" s="241">
        <f>E294-D294</f>
        <v>-126</v>
      </c>
      <c r="G294" s="235">
        <v>0</v>
      </c>
      <c r="H294" s="340" t="s">
        <v>892</v>
      </c>
      <c r="I294" s="341">
        <v>25000</v>
      </c>
      <c r="J294" s="341" t="s">
        <v>893</v>
      </c>
      <c r="K294" s="309">
        <f>SUM(I294*28)</f>
        <v>700000</v>
      </c>
    </row>
    <row r="295" spans="1:11" ht="17.25" customHeight="1">
      <c r="A295" s="230"/>
      <c r="B295" s="216"/>
      <c r="C295" s="208"/>
      <c r="D295" s="236"/>
      <c r="E295" s="236"/>
      <c r="F295" s="252"/>
      <c r="G295" s="253"/>
      <c r="H295" s="333" t="s">
        <v>894</v>
      </c>
      <c r="I295" s="249">
        <v>2000</v>
      </c>
      <c r="J295" s="249" t="s">
        <v>895</v>
      </c>
      <c r="K295" s="254">
        <f>SUM(I295*28*14)</f>
        <v>784000</v>
      </c>
    </row>
    <row r="296" spans="1:11" ht="17.25" customHeight="1">
      <c r="A296" s="230"/>
      <c r="B296" s="293"/>
      <c r="C296" s="238"/>
      <c r="D296" s="239"/>
      <c r="E296" s="239"/>
      <c r="F296" s="280"/>
      <c r="G296" s="220"/>
      <c r="H296" s="194" t="s">
        <v>896</v>
      </c>
      <c r="I296" s="119">
        <v>25000</v>
      </c>
      <c r="J296" s="119" t="s">
        <v>897</v>
      </c>
      <c r="K296" s="125">
        <f>SUM(I296*30)</f>
        <v>750000</v>
      </c>
    </row>
    <row r="297" spans="1:11" ht="17.25" customHeight="1">
      <c r="A297" s="230"/>
      <c r="B297" s="293"/>
      <c r="C297" s="208" t="s">
        <v>898</v>
      </c>
      <c r="D297" s="232">
        <v>680</v>
      </c>
      <c r="E297" s="232">
        <v>2650</v>
      </c>
      <c r="F297" s="241">
        <f>E297-D297</f>
        <v>1970</v>
      </c>
      <c r="G297" s="235">
        <v>0</v>
      </c>
      <c r="H297" s="340" t="s">
        <v>899</v>
      </c>
      <c r="I297" s="341">
        <v>30000</v>
      </c>
      <c r="J297" s="341" t="s">
        <v>897</v>
      </c>
      <c r="K297" s="309">
        <f>SUM(I297*30)</f>
        <v>900000</v>
      </c>
    </row>
    <row r="298" spans="1:11" ht="17.25" customHeight="1">
      <c r="A298" s="230"/>
      <c r="B298" s="293"/>
      <c r="C298" s="208"/>
      <c r="D298" s="236"/>
      <c r="E298" s="236"/>
      <c r="F298" s="252"/>
      <c r="G298" s="253"/>
      <c r="H298" s="333" t="s">
        <v>900</v>
      </c>
      <c r="I298" s="249"/>
      <c r="J298" s="249"/>
      <c r="K298" s="254">
        <v>1000000</v>
      </c>
    </row>
    <row r="299" spans="1:11" ht="17.25" customHeight="1">
      <c r="A299" s="230"/>
      <c r="B299" s="293"/>
      <c r="C299" s="238"/>
      <c r="D299" s="239"/>
      <c r="E299" s="239"/>
      <c r="F299" s="280"/>
      <c r="G299" s="220"/>
      <c r="H299" s="194" t="s">
        <v>901</v>
      </c>
      <c r="I299" s="119">
        <v>25000</v>
      </c>
      <c r="J299" s="119" t="s">
        <v>897</v>
      </c>
      <c r="K299" s="125">
        <f>SUM(I299*30)</f>
        <v>750000</v>
      </c>
    </row>
    <row r="300" spans="1:11" ht="17.25" customHeight="1">
      <c r="A300" s="230"/>
      <c r="B300" s="292"/>
      <c r="C300" s="256" t="s">
        <v>902</v>
      </c>
      <c r="D300" s="239">
        <v>0</v>
      </c>
      <c r="E300" s="314">
        <v>0</v>
      </c>
      <c r="F300" s="299">
        <f>E300-D300</f>
        <v>0</v>
      </c>
      <c r="G300" s="220">
        <v>0</v>
      </c>
      <c r="H300" s="423" t="s">
        <v>903</v>
      </c>
      <c r="I300" s="119"/>
      <c r="J300" s="119"/>
      <c r="K300" s="125"/>
    </row>
    <row r="301" spans="1:11" ht="17.25" customHeight="1">
      <c r="A301" s="230"/>
      <c r="B301" s="293" t="s">
        <v>559</v>
      </c>
      <c r="C301" s="212" t="s">
        <v>193</v>
      </c>
      <c r="D301" s="232">
        <v>400</v>
      </c>
      <c r="E301" s="232">
        <v>300</v>
      </c>
      <c r="F301" s="234">
        <f>E301-D301</f>
        <v>-100</v>
      </c>
      <c r="G301" s="235">
        <v>0</v>
      </c>
      <c r="H301" s="315" t="s">
        <v>904</v>
      </c>
      <c r="I301" s="193">
        <v>30000</v>
      </c>
      <c r="J301" s="119" t="s">
        <v>98</v>
      </c>
      <c r="K301" s="132">
        <f>SUM(I301*10)</f>
        <v>300000</v>
      </c>
    </row>
    <row r="302" spans="1:11" ht="17.25" customHeight="1">
      <c r="A302" s="230"/>
      <c r="B302" s="293"/>
      <c r="C302" s="209" t="s">
        <v>194</v>
      </c>
      <c r="D302" s="275">
        <v>200</v>
      </c>
      <c r="E302" s="275">
        <v>180</v>
      </c>
      <c r="F302" s="226">
        <f aca="true" t="shared" si="7" ref="F302:F312">E302-D302</f>
        <v>-20</v>
      </c>
      <c r="G302" s="227">
        <v>0</v>
      </c>
      <c r="H302" s="305" t="s">
        <v>905</v>
      </c>
      <c r="I302" s="193"/>
      <c r="J302" s="119"/>
      <c r="K302" s="132">
        <v>180000</v>
      </c>
    </row>
    <row r="303" spans="1:11" ht="17.25" customHeight="1">
      <c r="A303" s="230"/>
      <c r="B303" s="293"/>
      <c r="C303" s="209" t="s">
        <v>560</v>
      </c>
      <c r="D303" s="275">
        <v>300</v>
      </c>
      <c r="E303" s="275">
        <v>150</v>
      </c>
      <c r="F303" s="226">
        <f t="shared" si="7"/>
        <v>-150</v>
      </c>
      <c r="G303" s="227">
        <v>0</v>
      </c>
      <c r="H303" s="305" t="s">
        <v>560</v>
      </c>
      <c r="I303" s="193">
        <v>150000</v>
      </c>
      <c r="J303" s="119" t="s">
        <v>196</v>
      </c>
      <c r="K303" s="132">
        <f>SUM(I303*1)</f>
        <v>150000</v>
      </c>
    </row>
    <row r="304" spans="1:11" ht="17.25" customHeight="1">
      <c r="A304" s="230"/>
      <c r="B304" s="293"/>
      <c r="C304" s="209" t="s">
        <v>561</v>
      </c>
      <c r="D304" s="275">
        <v>1500</v>
      </c>
      <c r="E304" s="275">
        <v>1000</v>
      </c>
      <c r="F304" s="226">
        <f t="shared" si="7"/>
        <v>-500</v>
      </c>
      <c r="G304" s="227">
        <f>F304*100/D304</f>
        <v>-33.333333333333336</v>
      </c>
      <c r="H304" s="305" t="s">
        <v>561</v>
      </c>
      <c r="I304" s="119">
        <v>1000000</v>
      </c>
      <c r="J304" s="119" t="s">
        <v>196</v>
      </c>
      <c r="K304" s="132">
        <f>SUM(I304*1)</f>
        <v>1000000</v>
      </c>
    </row>
    <row r="305" spans="1:11" ht="17.25" customHeight="1">
      <c r="A305" s="230"/>
      <c r="B305" s="293"/>
      <c r="C305" s="209" t="s">
        <v>195</v>
      </c>
      <c r="D305" s="275">
        <v>2000</v>
      </c>
      <c r="E305" s="275">
        <v>2000</v>
      </c>
      <c r="F305" s="226">
        <f>E305-D305</f>
        <v>0</v>
      </c>
      <c r="G305" s="227">
        <f>F305*100/D305</f>
        <v>0</v>
      </c>
      <c r="H305" s="305" t="s">
        <v>195</v>
      </c>
      <c r="I305" s="193">
        <v>2000000</v>
      </c>
      <c r="J305" s="193" t="s">
        <v>196</v>
      </c>
      <c r="K305" s="132">
        <f>SUM(I305*1)</f>
        <v>2000000</v>
      </c>
    </row>
    <row r="306" spans="1:11" ht="17.25" customHeight="1">
      <c r="A306" s="230"/>
      <c r="B306" s="306"/>
      <c r="C306" s="238" t="s">
        <v>906</v>
      </c>
      <c r="D306" s="239">
        <v>0</v>
      </c>
      <c r="E306" s="239">
        <v>150</v>
      </c>
      <c r="F306" s="280">
        <f t="shared" si="7"/>
        <v>150</v>
      </c>
      <c r="G306" s="220">
        <v>0</v>
      </c>
      <c r="H306" s="256" t="s">
        <v>907</v>
      </c>
      <c r="I306" s="119"/>
      <c r="J306" s="119"/>
      <c r="K306" s="125">
        <v>150000</v>
      </c>
    </row>
    <row r="307" spans="1:11" ht="16.5" customHeight="1">
      <c r="A307" s="248"/>
      <c r="B307" s="595" t="s">
        <v>197</v>
      </c>
      <c r="C307" s="593"/>
      <c r="D307" s="322">
        <f>SUM(D308:D312)</f>
        <v>620</v>
      </c>
      <c r="E307" s="322">
        <f>SUM(E308:E312)</f>
        <v>620</v>
      </c>
      <c r="F307" s="299">
        <f t="shared" si="7"/>
        <v>0</v>
      </c>
      <c r="G307" s="220">
        <f>F307*100/D307</f>
        <v>0</v>
      </c>
      <c r="H307" s="194" t="s">
        <v>562</v>
      </c>
      <c r="I307" s="119"/>
      <c r="J307" s="119"/>
      <c r="K307" s="125">
        <f>SUM(K308:K312)</f>
        <v>620000</v>
      </c>
    </row>
    <row r="308" spans="1:11" ht="16.5" customHeight="1">
      <c r="A308" s="230"/>
      <c r="B308" s="289" t="s">
        <v>563</v>
      </c>
      <c r="C308" s="209" t="s">
        <v>564</v>
      </c>
      <c r="D308" s="275">
        <v>140</v>
      </c>
      <c r="E308" s="275">
        <v>140</v>
      </c>
      <c r="F308" s="291">
        <f t="shared" si="7"/>
        <v>0</v>
      </c>
      <c r="G308" s="227">
        <v>0</v>
      </c>
      <c r="H308" s="330" t="s">
        <v>594</v>
      </c>
      <c r="I308" s="193">
        <v>70000</v>
      </c>
      <c r="J308" s="193" t="s">
        <v>849</v>
      </c>
      <c r="K308" s="132">
        <f>SUM(I308*1*2)</f>
        <v>140000</v>
      </c>
    </row>
    <row r="309" spans="1:11" ht="16.5" customHeight="1">
      <c r="A309" s="230"/>
      <c r="B309" s="201" t="s">
        <v>198</v>
      </c>
      <c r="C309" s="212" t="s">
        <v>565</v>
      </c>
      <c r="D309" s="232">
        <v>200</v>
      </c>
      <c r="E309" s="232">
        <v>200</v>
      </c>
      <c r="F309" s="234">
        <f t="shared" si="7"/>
        <v>0</v>
      </c>
      <c r="G309" s="235">
        <f>F309*100/D309</f>
        <v>0</v>
      </c>
      <c r="H309" s="385" t="s">
        <v>867</v>
      </c>
      <c r="I309" s="341">
        <v>100000</v>
      </c>
      <c r="J309" s="341" t="s">
        <v>109</v>
      </c>
      <c r="K309" s="309">
        <f>SUM(I309*1)</f>
        <v>100000</v>
      </c>
    </row>
    <row r="310" spans="1:11" ht="16.5" customHeight="1">
      <c r="A310" s="230"/>
      <c r="B310" s="306"/>
      <c r="C310" s="238"/>
      <c r="D310" s="239"/>
      <c r="E310" s="239"/>
      <c r="F310" s="299"/>
      <c r="G310" s="220"/>
      <c r="H310" s="331" t="s">
        <v>868</v>
      </c>
      <c r="I310" s="119">
        <v>50000</v>
      </c>
      <c r="J310" s="119" t="s">
        <v>849</v>
      </c>
      <c r="K310" s="125">
        <f>SUM(I310*2)</f>
        <v>100000</v>
      </c>
    </row>
    <row r="311" spans="1:11" ht="16.5" customHeight="1">
      <c r="A311" s="230"/>
      <c r="B311" s="313" t="s">
        <v>566</v>
      </c>
      <c r="C311" s="209" t="s">
        <v>199</v>
      </c>
      <c r="D311" s="275">
        <v>220</v>
      </c>
      <c r="E311" s="275">
        <v>220</v>
      </c>
      <c r="F311" s="241">
        <f t="shared" si="7"/>
        <v>0</v>
      </c>
      <c r="G311" s="227">
        <v>0</v>
      </c>
      <c r="H311" s="242" t="s">
        <v>201</v>
      </c>
      <c r="I311" s="119">
        <v>55000</v>
      </c>
      <c r="J311" s="193" t="s">
        <v>865</v>
      </c>
      <c r="K311" s="132">
        <f>SUM(I311*4)</f>
        <v>220000</v>
      </c>
    </row>
    <row r="312" spans="1:11" ht="16.5" customHeight="1" thickBot="1">
      <c r="A312" s="243"/>
      <c r="B312" s="312"/>
      <c r="C312" s="211" t="s">
        <v>200</v>
      </c>
      <c r="D312" s="245">
        <v>60</v>
      </c>
      <c r="E312" s="245">
        <v>60</v>
      </c>
      <c r="F312" s="302">
        <f t="shared" si="7"/>
        <v>0</v>
      </c>
      <c r="G312" s="303">
        <v>0</v>
      </c>
      <c r="H312" s="325" t="s">
        <v>866</v>
      </c>
      <c r="I312" s="260">
        <v>30000</v>
      </c>
      <c r="J312" s="261" t="s">
        <v>127</v>
      </c>
      <c r="K312" s="262">
        <f>SUM(I312*2)</f>
        <v>60000</v>
      </c>
    </row>
    <row r="313" spans="1:11" ht="14.25" customHeight="1">
      <c r="A313" s="584" t="s">
        <v>5</v>
      </c>
      <c r="B313" s="574" t="s">
        <v>6</v>
      </c>
      <c r="C313" s="574" t="s">
        <v>7</v>
      </c>
      <c r="D313" s="574" t="s">
        <v>1076</v>
      </c>
      <c r="E313" s="574" t="s">
        <v>1077</v>
      </c>
      <c r="F313" s="577" t="s">
        <v>42</v>
      </c>
      <c r="G313" s="552"/>
      <c r="H313" s="578" t="s">
        <v>43</v>
      </c>
      <c r="I313" s="579"/>
      <c r="J313" s="579"/>
      <c r="K313" s="580"/>
    </row>
    <row r="314" spans="1:11" ht="17.25" customHeight="1" thickBot="1">
      <c r="A314" s="585"/>
      <c r="B314" s="575"/>
      <c r="C314" s="575"/>
      <c r="D314" s="575"/>
      <c r="E314" s="575"/>
      <c r="F314" s="518" t="s">
        <v>9</v>
      </c>
      <c r="G314" s="522" t="s">
        <v>44</v>
      </c>
      <c r="H314" s="581"/>
      <c r="I314" s="582"/>
      <c r="J314" s="582"/>
      <c r="K314" s="583"/>
    </row>
    <row r="315" spans="1:11" ht="19.5" customHeight="1">
      <c r="A315" s="268" t="s">
        <v>117</v>
      </c>
      <c r="B315" s="204" t="s">
        <v>206</v>
      </c>
      <c r="C315" s="311" t="s">
        <v>207</v>
      </c>
      <c r="D315" s="322">
        <f>SUM(D316:D329)</f>
        <v>10000</v>
      </c>
      <c r="E315" s="322">
        <f>SUM(E316:E329)</f>
        <v>10000</v>
      </c>
      <c r="F315" s="252">
        <f>E315-D315</f>
        <v>0</v>
      </c>
      <c r="G315" s="253">
        <f>F315*100/D315</f>
        <v>0</v>
      </c>
      <c r="H315" s="221" t="s">
        <v>213</v>
      </c>
      <c r="I315" s="222"/>
      <c r="J315" s="222"/>
      <c r="K315" s="254">
        <f>SUM(K316:K329)</f>
        <v>10000000</v>
      </c>
    </row>
    <row r="316" spans="1:11" ht="12" customHeight="1">
      <c r="A316" s="230"/>
      <c r="B316" s="216"/>
      <c r="C316" s="213" t="s">
        <v>202</v>
      </c>
      <c r="D316" s="232">
        <v>5645</v>
      </c>
      <c r="E316" s="232">
        <v>4425</v>
      </c>
      <c r="F316" s="241">
        <f aca="true" t="shared" si="8" ref="F316:F329">E316-D316</f>
        <v>-1220</v>
      </c>
      <c r="G316" s="235">
        <v>0</v>
      </c>
      <c r="H316" s="340" t="s">
        <v>931</v>
      </c>
      <c r="I316" s="341">
        <v>20000</v>
      </c>
      <c r="J316" s="341" t="s">
        <v>53</v>
      </c>
      <c r="K316" s="309">
        <f>SUM(I316*12)</f>
        <v>240000</v>
      </c>
    </row>
    <row r="317" spans="1:11" ht="12" customHeight="1">
      <c r="A317" s="230"/>
      <c r="B317" s="216"/>
      <c r="C317" s="311"/>
      <c r="D317" s="318"/>
      <c r="E317" s="236"/>
      <c r="F317" s="252"/>
      <c r="G317" s="253"/>
      <c r="H317" s="333" t="s">
        <v>932</v>
      </c>
      <c r="I317" s="249">
        <v>185000</v>
      </c>
      <c r="J317" s="249" t="s">
        <v>109</v>
      </c>
      <c r="K317" s="254">
        <f>SUM(I317*1)</f>
        <v>185000</v>
      </c>
    </row>
    <row r="318" spans="1:11" ht="12" customHeight="1">
      <c r="A318" s="230"/>
      <c r="B318" s="216"/>
      <c r="C318" s="250"/>
      <c r="D318" s="314"/>
      <c r="E318" s="239"/>
      <c r="F318" s="280"/>
      <c r="G318" s="220"/>
      <c r="H318" s="180" t="s">
        <v>595</v>
      </c>
      <c r="I318" s="119">
        <v>400000</v>
      </c>
      <c r="J318" s="119" t="s">
        <v>98</v>
      </c>
      <c r="K318" s="125">
        <f>SUM(I318*10)</f>
        <v>4000000</v>
      </c>
    </row>
    <row r="319" spans="1:11" ht="12" customHeight="1">
      <c r="A319" s="230"/>
      <c r="B319" s="216"/>
      <c r="C319" s="209" t="s">
        <v>205</v>
      </c>
      <c r="D319" s="275">
        <v>1200</v>
      </c>
      <c r="E319" s="275">
        <v>1200</v>
      </c>
      <c r="F319" s="226">
        <f t="shared" si="8"/>
        <v>0</v>
      </c>
      <c r="G319" s="227">
        <f aca="true" t="shared" si="9" ref="G319:G329">F319*100/D319</f>
        <v>0</v>
      </c>
      <c r="H319" s="242" t="s">
        <v>205</v>
      </c>
      <c r="I319" s="193">
        <v>60000</v>
      </c>
      <c r="J319" s="332" t="s">
        <v>933</v>
      </c>
      <c r="K319" s="132">
        <f>SUM(I319*2*10)</f>
        <v>1200000</v>
      </c>
    </row>
    <row r="320" spans="1:11" ht="12" customHeight="1">
      <c r="A320" s="230"/>
      <c r="B320" s="216"/>
      <c r="C320" s="209" t="s">
        <v>567</v>
      </c>
      <c r="D320" s="275">
        <v>600</v>
      </c>
      <c r="E320" s="275">
        <v>600</v>
      </c>
      <c r="F320" s="226">
        <f t="shared" si="8"/>
        <v>0</v>
      </c>
      <c r="G320" s="227">
        <f t="shared" si="9"/>
        <v>0</v>
      </c>
      <c r="H320" s="242" t="s">
        <v>208</v>
      </c>
      <c r="I320" s="193">
        <v>300000</v>
      </c>
      <c r="J320" s="193" t="s">
        <v>127</v>
      </c>
      <c r="K320" s="132">
        <f>SUM(I320*2)</f>
        <v>600000</v>
      </c>
    </row>
    <row r="321" spans="1:11" ht="12" customHeight="1">
      <c r="A321" s="230"/>
      <c r="B321" s="216"/>
      <c r="C321" s="209" t="s">
        <v>209</v>
      </c>
      <c r="D321" s="275">
        <v>1400</v>
      </c>
      <c r="E321" s="275">
        <v>1400</v>
      </c>
      <c r="F321" s="226">
        <f t="shared" si="8"/>
        <v>0</v>
      </c>
      <c r="G321" s="227">
        <f t="shared" si="9"/>
        <v>0</v>
      </c>
      <c r="H321" s="242" t="s">
        <v>568</v>
      </c>
      <c r="I321" s="193">
        <v>70000</v>
      </c>
      <c r="J321" s="193" t="s">
        <v>934</v>
      </c>
      <c r="K321" s="132">
        <f>SUM(I321*20)</f>
        <v>1400000</v>
      </c>
    </row>
    <row r="322" spans="1:11" ht="13.5">
      <c r="A322" s="230"/>
      <c r="B322" s="216"/>
      <c r="C322" s="209" t="s">
        <v>852</v>
      </c>
      <c r="D322" s="275">
        <v>350</v>
      </c>
      <c r="E322" s="275">
        <v>360</v>
      </c>
      <c r="F322" s="226">
        <f>E322-D322</f>
        <v>10</v>
      </c>
      <c r="G322" s="227">
        <f>F322*100/D322</f>
        <v>2.857142857142857</v>
      </c>
      <c r="H322" s="242" t="s">
        <v>852</v>
      </c>
      <c r="I322" s="193">
        <v>40000</v>
      </c>
      <c r="J322" s="193" t="s">
        <v>935</v>
      </c>
      <c r="K322" s="132">
        <f>SUM(I322*9)</f>
        <v>360000</v>
      </c>
    </row>
    <row r="323" spans="1:11" ht="13.5">
      <c r="A323" s="230"/>
      <c r="B323" s="216"/>
      <c r="C323" s="311" t="s">
        <v>210</v>
      </c>
      <c r="D323" s="239">
        <v>140</v>
      </c>
      <c r="E323" s="239">
        <v>180</v>
      </c>
      <c r="F323" s="280">
        <f>E323-D323</f>
        <v>40</v>
      </c>
      <c r="G323" s="220">
        <v>0</v>
      </c>
      <c r="H323" s="333" t="s">
        <v>210</v>
      </c>
      <c r="I323" s="119">
        <v>20000</v>
      </c>
      <c r="J323" s="119" t="s">
        <v>936</v>
      </c>
      <c r="K323" s="132">
        <f>SUM(I323*9)</f>
        <v>180000</v>
      </c>
    </row>
    <row r="324" spans="1:11" ht="13.5">
      <c r="A324" s="230"/>
      <c r="B324" s="216"/>
      <c r="C324" s="209" t="s">
        <v>211</v>
      </c>
      <c r="D324" s="185">
        <v>210</v>
      </c>
      <c r="E324" s="185">
        <v>180</v>
      </c>
      <c r="F324" s="226">
        <f>E324-D324</f>
        <v>-30</v>
      </c>
      <c r="G324" s="227">
        <v>0</v>
      </c>
      <c r="H324" s="242" t="s">
        <v>211</v>
      </c>
      <c r="I324" s="193">
        <v>20000</v>
      </c>
      <c r="J324" s="119" t="s">
        <v>936</v>
      </c>
      <c r="K324" s="132">
        <f>SUM(I324*9)</f>
        <v>180000</v>
      </c>
    </row>
    <row r="325" spans="1:11" ht="13.5">
      <c r="A325" s="230"/>
      <c r="B325" s="216"/>
      <c r="C325" s="212" t="s">
        <v>929</v>
      </c>
      <c r="D325" s="285">
        <v>0</v>
      </c>
      <c r="E325" s="294">
        <v>1200</v>
      </c>
      <c r="F325" s="241">
        <f>E325-D325</f>
        <v>1200</v>
      </c>
      <c r="G325" s="227">
        <v>0</v>
      </c>
      <c r="H325" s="333" t="s">
        <v>203</v>
      </c>
      <c r="I325" s="249">
        <v>100000</v>
      </c>
      <c r="J325" s="249" t="s">
        <v>53</v>
      </c>
      <c r="K325" s="254">
        <f>SUM(I325*12)</f>
        <v>1200000</v>
      </c>
    </row>
    <row r="326" spans="1:11" ht="13.5">
      <c r="A326" s="230"/>
      <c r="B326" s="216"/>
      <c r="C326" s="212" t="s">
        <v>930</v>
      </c>
      <c r="D326" s="232">
        <v>0</v>
      </c>
      <c r="E326" s="232">
        <v>120</v>
      </c>
      <c r="F326" s="241">
        <f t="shared" si="8"/>
        <v>120</v>
      </c>
      <c r="G326" s="319">
        <v>0</v>
      </c>
      <c r="H326" s="242" t="s">
        <v>937</v>
      </c>
      <c r="I326" s="193">
        <v>10000</v>
      </c>
      <c r="J326" s="193" t="s">
        <v>53</v>
      </c>
      <c r="K326" s="132">
        <f>SUM(I326*12)</f>
        <v>120000</v>
      </c>
    </row>
    <row r="327" spans="1:11" ht="13.5">
      <c r="A327" s="230"/>
      <c r="B327" s="216"/>
      <c r="C327" s="212" t="s">
        <v>124</v>
      </c>
      <c r="D327" s="232">
        <v>255</v>
      </c>
      <c r="E327" s="232">
        <v>135</v>
      </c>
      <c r="F327" s="241">
        <f t="shared" si="8"/>
        <v>-120</v>
      </c>
      <c r="G327" s="235">
        <f t="shared" si="9"/>
        <v>-47.05882352941177</v>
      </c>
      <c r="H327" s="333" t="s">
        <v>124</v>
      </c>
      <c r="I327" s="249">
        <v>100000</v>
      </c>
      <c r="J327" s="249" t="s">
        <v>109</v>
      </c>
      <c r="K327" s="254">
        <f>SUM(I327*1)</f>
        <v>100000</v>
      </c>
    </row>
    <row r="328" spans="1:11" ht="13.5">
      <c r="A328" s="230"/>
      <c r="B328" s="216"/>
      <c r="C328" s="238"/>
      <c r="D328" s="239"/>
      <c r="E328" s="239"/>
      <c r="F328" s="280"/>
      <c r="G328" s="220"/>
      <c r="H328" s="194" t="s">
        <v>938</v>
      </c>
      <c r="I328" s="119">
        <v>35000</v>
      </c>
      <c r="J328" s="119" t="s">
        <v>109</v>
      </c>
      <c r="K328" s="125">
        <f>SUM(I328*1)</f>
        <v>35000</v>
      </c>
    </row>
    <row r="329" spans="1:11" ht="13.5">
      <c r="A329" s="230"/>
      <c r="B329" s="292"/>
      <c r="C329" s="238" t="s">
        <v>939</v>
      </c>
      <c r="D329" s="239">
        <v>200</v>
      </c>
      <c r="E329" s="239">
        <v>200</v>
      </c>
      <c r="F329" s="226">
        <f t="shared" si="8"/>
        <v>0</v>
      </c>
      <c r="G329" s="227">
        <f t="shared" si="9"/>
        <v>0</v>
      </c>
      <c r="H329" s="331" t="s">
        <v>940</v>
      </c>
      <c r="I329" s="119">
        <v>50000</v>
      </c>
      <c r="J329" s="119" t="s">
        <v>101</v>
      </c>
      <c r="K329" s="125">
        <f>SUM(I329*4)</f>
        <v>200000</v>
      </c>
    </row>
    <row r="330" spans="1:11" ht="14.25" customHeight="1">
      <c r="A330" s="268"/>
      <c r="B330" s="206" t="s">
        <v>214</v>
      </c>
      <c r="C330" s="311" t="s">
        <v>217</v>
      </c>
      <c r="D330" s="322">
        <f>SUM(D331:D338)</f>
        <v>895</v>
      </c>
      <c r="E330" s="304">
        <f>SUM(E331:E338)</f>
        <v>1566</v>
      </c>
      <c r="F330" s="252">
        <f aca="true" t="shared" si="10" ref="F330:F340">E330-D330</f>
        <v>671</v>
      </c>
      <c r="G330" s="220">
        <f>F330*100/D330</f>
        <v>74.97206703910615</v>
      </c>
      <c r="H330" s="221" t="s">
        <v>215</v>
      </c>
      <c r="I330" s="222"/>
      <c r="J330" s="222"/>
      <c r="K330" s="132">
        <f>SUM(K331+K334+K337+K338)</f>
        <v>1566501</v>
      </c>
    </row>
    <row r="331" spans="1:11" ht="14.25" customHeight="1">
      <c r="A331" s="230"/>
      <c r="B331" s="320"/>
      <c r="C331" s="212" t="s">
        <v>569</v>
      </c>
      <c r="D331" s="275">
        <v>475</v>
      </c>
      <c r="E331" s="232">
        <v>685</v>
      </c>
      <c r="F331" s="241">
        <f t="shared" si="10"/>
        <v>210</v>
      </c>
      <c r="G331" s="235">
        <f>F331*100/D331</f>
        <v>44.21052631578947</v>
      </c>
      <c r="H331" s="340" t="s">
        <v>648</v>
      </c>
      <c r="I331" s="341"/>
      <c r="J331" s="341"/>
      <c r="K331" s="309">
        <f>SUM(K332:K333)</f>
        <v>685000</v>
      </c>
    </row>
    <row r="332" spans="1:11" ht="14.25" customHeight="1">
      <c r="A332" s="230"/>
      <c r="B332" s="320"/>
      <c r="C332" s="208"/>
      <c r="D332" s="236"/>
      <c r="E332" s="236"/>
      <c r="F332" s="252"/>
      <c r="G332" s="253"/>
      <c r="H332" s="333" t="s">
        <v>853</v>
      </c>
      <c r="I332" s="249">
        <v>30000</v>
      </c>
      <c r="J332" s="249" t="s">
        <v>854</v>
      </c>
      <c r="K332" s="254">
        <f>SUM(I332*12)</f>
        <v>360000</v>
      </c>
    </row>
    <row r="333" spans="1:11" ht="14.25" customHeight="1">
      <c r="A333" s="230"/>
      <c r="B333" s="320"/>
      <c r="C333" s="238"/>
      <c r="D333" s="239"/>
      <c r="E333" s="239"/>
      <c r="F333" s="280"/>
      <c r="G333" s="220"/>
      <c r="H333" s="194" t="s">
        <v>855</v>
      </c>
      <c r="I333" s="119">
        <v>32500</v>
      </c>
      <c r="J333" s="119" t="s">
        <v>856</v>
      </c>
      <c r="K333" s="125">
        <f>SUM(I333*10)</f>
        <v>325000</v>
      </c>
    </row>
    <row r="334" spans="1:11" ht="14.25" customHeight="1">
      <c r="A334" s="230"/>
      <c r="B334" s="320"/>
      <c r="C334" s="212" t="s">
        <v>212</v>
      </c>
      <c r="D334" s="275">
        <v>300</v>
      </c>
      <c r="E334" s="232">
        <v>461</v>
      </c>
      <c r="F334" s="241">
        <f>E334-D334</f>
        <v>161</v>
      </c>
      <c r="G334" s="235">
        <f>F334*100/D334</f>
        <v>53.666666666666664</v>
      </c>
      <c r="H334" s="388" t="s">
        <v>857</v>
      </c>
      <c r="I334" s="341"/>
      <c r="J334" s="341"/>
      <c r="K334" s="309">
        <f>SUM(K335:K336)</f>
        <v>461501</v>
      </c>
    </row>
    <row r="335" spans="1:11" ht="14.25" customHeight="1">
      <c r="A335" s="230"/>
      <c r="B335" s="320"/>
      <c r="C335" s="208"/>
      <c r="D335" s="236"/>
      <c r="E335" s="236"/>
      <c r="F335" s="252"/>
      <c r="G335" s="253"/>
      <c r="H335" s="333" t="s">
        <v>858</v>
      </c>
      <c r="I335" s="249">
        <v>311501</v>
      </c>
      <c r="J335" s="249"/>
      <c r="K335" s="254">
        <v>311501</v>
      </c>
    </row>
    <row r="336" spans="1:11" ht="14.25" customHeight="1">
      <c r="A336" s="230"/>
      <c r="B336" s="320"/>
      <c r="C336" s="238"/>
      <c r="D336" s="239"/>
      <c r="E336" s="239"/>
      <c r="F336" s="280"/>
      <c r="G336" s="220"/>
      <c r="H336" s="194" t="s">
        <v>859</v>
      </c>
      <c r="I336" s="119">
        <v>25000</v>
      </c>
      <c r="J336" s="119" t="s">
        <v>841</v>
      </c>
      <c r="K336" s="125">
        <f>SUM(I336*6)</f>
        <v>150000</v>
      </c>
    </row>
    <row r="337" spans="1:11" ht="14.25" customHeight="1">
      <c r="A337" s="230"/>
      <c r="B337" s="320"/>
      <c r="C337" s="209" t="s">
        <v>182</v>
      </c>
      <c r="D337" s="275">
        <v>120</v>
      </c>
      <c r="E337" s="275">
        <v>120</v>
      </c>
      <c r="F337" s="226">
        <f>E337-D337</f>
        <v>0</v>
      </c>
      <c r="G337" s="227">
        <f>F337*100/D337</f>
        <v>0</v>
      </c>
      <c r="H337" s="242" t="s">
        <v>570</v>
      </c>
      <c r="I337" s="119"/>
      <c r="J337" s="119"/>
      <c r="K337" s="237">
        <v>120000</v>
      </c>
    </row>
    <row r="338" spans="1:11" ht="14.25" customHeight="1">
      <c r="A338" s="230"/>
      <c r="B338" s="321"/>
      <c r="C338" s="209" t="s">
        <v>191</v>
      </c>
      <c r="D338" s="275">
        <v>0</v>
      </c>
      <c r="E338" s="275">
        <v>300</v>
      </c>
      <c r="F338" s="226">
        <f t="shared" si="10"/>
        <v>300</v>
      </c>
      <c r="G338" s="227">
        <v>0</v>
      </c>
      <c r="H338" s="242" t="s">
        <v>860</v>
      </c>
      <c r="I338" s="119"/>
      <c r="J338" s="119"/>
      <c r="K338" s="237">
        <v>300000</v>
      </c>
    </row>
    <row r="339" spans="1:11" ht="14.25" customHeight="1">
      <c r="A339" s="230"/>
      <c r="B339" s="320" t="s">
        <v>216</v>
      </c>
      <c r="C339" s="206" t="s">
        <v>40</v>
      </c>
      <c r="D339" s="185">
        <f>SUM(D340+D355+D356+D357+D358+D359+D360+D361+D362+D363)</f>
        <v>92822</v>
      </c>
      <c r="E339" s="185">
        <f>SUM(E340+E355+E356+E357+E358+E359+E360+E361+E363)</f>
        <v>97262</v>
      </c>
      <c r="F339" s="295">
        <f t="shared" si="10"/>
        <v>4440</v>
      </c>
      <c r="G339" s="235">
        <f>F339*100/D339</f>
        <v>4.783348775074875</v>
      </c>
      <c r="H339" s="331" t="s">
        <v>596</v>
      </c>
      <c r="I339" s="119"/>
      <c r="J339" s="119"/>
      <c r="K339" s="309">
        <f>SUM(K340+K355+K356+K357+K358+K359+K360+K361+K363)</f>
        <v>97262000</v>
      </c>
    </row>
    <row r="340" spans="1:11" ht="13.5" customHeight="1">
      <c r="A340" s="230"/>
      <c r="B340" s="323"/>
      <c r="C340" s="212" t="s">
        <v>571</v>
      </c>
      <c r="D340" s="294">
        <v>25000</v>
      </c>
      <c r="E340" s="294">
        <v>25000</v>
      </c>
      <c r="F340" s="241">
        <f t="shared" si="10"/>
        <v>0</v>
      </c>
      <c r="G340" s="235">
        <f>F340*100/D340</f>
        <v>0</v>
      </c>
      <c r="H340" s="330" t="s">
        <v>597</v>
      </c>
      <c r="I340" s="193"/>
      <c r="J340" s="193"/>
      <c r="K340" s="132">
        <f>SUM(K341+K348)</f>
        <v>25000000</v>
      </c>
    </row>
    <row r="341" spans="1:11" ht="12.75" customHeight="1">
      <c r="A341" s="230"/>
      <c r="B341" s="323"/>
      <c r="C341" s="208"/>
      <c r="D341" s="236"/>
      <c r="E341" s="236"/>
      <c r="F341" s="252"/>
      <c r="G341" s="253"/>
      <c r="H341" s="194" t="s">
        <v>218</v>
      </c>
      <c r="I341" s="119"/>
      <c r="J341" s="119"/>
      <c r="K341" s="254">
        <f>SUM(K342:K347)</f>
        <v>18435040</v>
      </c>
    </row>
    <row r="342" spans="1:11" ht="13.5" customHeight="1">
      <c r="A342" s="230"/>
      <c r="B342" s="323"/>
      <c r="C342" s="208"/>
      <c r="D342" s="236"/>
      <c r="E342" s="236"/>
      <c r="F342" s="252"/>
      <c r="G342" s="253"/>
      <c r="H342" s="340" t="s">
        <v>572</v>
      </c>
      <c r="I342" s="341">
        <v>1300000</v>
      </c>
      <c r="J342" s="341" t="s">
        <v>53</v>
      </c>
      <c r="K342" s="309">
        <f>SUM(I342*12)</f>
        <v>15600000</v>
      </c>
    </row>
    <row r="343" spans="1:11" ht="13.5" customHeight="1">
      <c r="A343" s="230"/>
      <c r="B343" s="323"/>
      <c r="C343" s="208"/>
      <c r="D343" s="236"/>
      <c r="E343" s="236"/>
      <c r="F343" s="252"/>
      <c r="G343" s="253"/>
      <c r="H343" s="333" t="s">
        <v>219</v>
      </c>
      <c r="I343" s="249">
        <v>15600000</v>
      </c>
      <c r="J343" s="249" t="s">
        <v>63</v>
      </c>
      <c r="K343" s="254">
        <f>SUM(I343*1/12)</f>
        <v>1300000</v>
      </c>
    </row>
    <row r="344" spans="1:11" ht="13.5" customHeight="1">
      <c r="A344" s="230"/>
      <c r="B344" s="323"/>
      <c r="C344" s="208"/>
      <c r="D344" s="236"/>
      <c r="E344" s="236"/>
      <c r="F344" s="252"/>
      <c r="G344" s="253"/>
      <c r="H344" s="333" t="s">
        <v>64</v>
      </c>
      <c r="I344" s="249">
        <v>15600000</v>
      </c>
      <c r="J344" s="249" t="s">
        <v>68</v>
      </c>
      <c r="K344" s="254">
        <f>SUM(I344*3.94%)</f>
        <v>614640</v>
      </c>
    </row>
    <row r="345" spans="1:11" ht="13.5" customHeight="1">
      <c r="A345" s="230"/>
      <c r="B345" s="323"/>
      <c r="C345" s="208"/>
      <c r="D345" s="236"/>
      <c r="E345" s="236"/>
      <c r="F345" s="252"/>
      <c r="G345" s="253"/>
      <c r="H345" s="333" t="s">
        <v>502</v>
      </c>
      <c r="I345" s="249">
        <v>15600000</v>
      </c>
      <c r="J345" s="249" t="s">
        <v>224</v>
      </c>
      <c r="K345" s="254">
        <f>SUM(I345*4.5%)</f>
        <v>702000</v>
      </c>
    </row>
    <row r="346" spans="1:11" ht="13.5" customHeight="1">
      <c r="A346" s="230"/>
      <c r="B346" s="323"/>
      <c r="C346" s="208"/>
      <c r="D346" s="236"/>
      <c r="E346" s="236"/>
      <c r="F346" s="252"/>
      <c r="G346" s="253"/>
      <c r="H346" s="333" t="s">
        <v>503</v>
      </c>
      <c r="I346" s="249">
        <v>15600000</v>
      </c>
      <c r="J346" s="249" t="s">
        <v>225</v>
      </c>
      <c r="K346" s="254">
        <f>SUM(I346*0.9%)</f>
        <v>140400.00000000003</v>
      </c>
    </row>
    <row r="347" spans="1:11" ht="13.5" customHeight="1">
      <c r="A347" s="230"/>
      <c r="B347" s="323"/>
      <c r="C347" s="208"/>
      <c r="D347" s="236"/>
      <c r="E347" s="236"/>
      <c r="F347" s="252"/>
      <c r="G347" s="253"/>
      <c r="H347" s="194" t="s">
        <v>220</v>
      </c>
      <c r="I347" s="119">
        <v>15600000</v>
      </c>
      <c r="J347" s="119" t="s">
        <v>226</v>
      </c>
      <c r="K347" s="125">
        <f>SUM(I347*0.5%)</f>
        <v>78000</v>
      </c>
    </row>
    <row r="348" spans="1:11" ht="12" customHeight="1">
      <c r="A348" s="230"/>
      <c r="B348" s="323"/>
      <c r="C348" s="208"/>
      <c r="D348" s="236"/>
      <c r="E348" s="267"/>
      <c r="F348" s="252"/>
      <c r="G348" s="253"/>
      <c r="H348" s="242" t="s">
        <v>221</v>
      </c>
      <c r="I348" s="193"/>
      <c r="J348" s="193"/>
      <c r="K348" s="254">
        <f>SUM(K349:K352)</f>
        <v>6564960</v>
      </c>
    </row>
    <row r="349" spans="1:11" ht="12" customHeight="1">
      <c r="A349" s="230"/>
      <c r="B349" s="323"/>
      <c r="C349" s="208"/>
      <c r="D349" s="236"/>
      <c r="E349" s="267"/>
      <c r="F349" s="252"/>
      <c r="G349" s="253"/>
      <c r="H349" s="340" t="s">
        <v>222</v>
      </c>
      <c r="I349" s="341">
        <v>440000</v>
      </c>
      <c r="J349" s="341" t="s">
        <v>53</v>
      </c>
      <c r="K349" s="309">
        <f>SUM(I349*12)</f>
        <v>5280000</v>
      </c>
    </row>
    <row r="350" spans="1:11" ht="12" customHeight="1">
      <c r="A350" s="230"/>
      <c r="B350" s="323"/>
      <c r="C350" s="208"/>
      <c r="D350" s="236"/>
      <c r="E350" s="267"/>
      <c r="F350" s="252"/>
      <c r="G350" s="253"/>
      <c r="H350" s="333" t="s">
        <v>223</v>
      </c>
      <c r="I350" s="249">
        <v>400000</v>
      </c>
      <c r="J350" s="249" t="s">
        <v>127</v>
      </c>
      <c r="K350" s="254">
        <f>SUM(I350*2)</f>
        <v>800000</v>
      </c>
    </row>
    <row r="351" spans="1:11" ht="12" customHeight="1">
      <c r="A351" s="230"/>
      <c r="B351" s="323"/>
      <c r="C351" s="208"/>
      <c r="D351" s="236"/>
      <c r="E351" s="267"/>
      <c r="F351" s="252"/>
      <c r="G351" s="253"/>
      <c r="H351" s="333" t="s">
        <v>191</v>
      </c>
      <c r="I351" s="249">
        <v>150000</v>
      </c>
      <c r="J351" s="249" t="s">
        <v>127</v>
      </c>
      <c r="K351" s="254">
        <f>SUM(I351*2)</f>
        <v>300000</v>
      </c>
    </row>
    <row r="352" spans="1:11" ht="12" customHeight="1" thickBot="1">
      <c r="A352" s="243"/>
      <c r="B352" s="324"/>
      <c r="C352" s="211"/>
      <c r="D352" s="245"/>
      <c r="E352" s="245"/>
      <c r="F352" s="258"/>
      <c r="G352" s="259"/>
      <c r="H352" s="282" t="s">
        <v>204</v>
      </c>
      <c r="I352" s="260">
        <v>92480</v>
      </c>
      <c r="J352" s="260" t="s">
        <v>127</v>
      </c>
      <c r="K352" s="272">
        <f>SUM(I352*2)</f>
        <v>184960</v>
      </c>
    </row>
    <row r="353" spans="1:11" ht="13.5">
      <c r="A353" s="584" t="s">
        <v>5</v>
      </c>
      <c r="B353" s="574" t="s">
        <v>6</v>
      </c>
      <c r="C353" s="574" t="s">
        <v>7</v>
      </c>
      <c r="D353" s="574" t="s">
        <v>1076</v>
      </c>
      <c r="E353" s="574" t="s">
        <v>1077</v>
      </c>
      <c r="F353" s="577" t="s">
        <v>42</v>
      </c>
      <c r="G353" s="552"/>
      <c r="H353" s="578" t="s">
        <v>43</v>
      </c>
      <c r="I353" s="579"/>
      <c r="J353" s="579"/>
      <c r="K353" s="580"/>
    </row>
    <row r="354" spans="1:11" ht="14.25" thickBot="1">
      <c r="A354" s="585"/>
      <c r="B354" s="575"/>
      <c r="C354" s="575"/>
      <c r="D354" s="575"/>
      <c r="E354" s="575"/>
      <c r="F354" s="518" t="s">
        <v>9</v>
      </c>
      <c r="G354" s="522" t="s">
        <v>44</v>
      </c>
      <c r="H354" s="581"/>
      <c r="I354" s="582"/>
      <c r="J354" s="582"/>
      <c r="K354" s="583"/>
    </row>
    <row r="355" spans="1:11" ht="19.5" customHeight="1">
      <c r="A355" s="268" t="s">
        <v>117</v>
      </c>
      <c r="B355" s="208" t="s">
        <v>216</v>
      </c>
      <c r="C355" s="311" t="s">
        <v>227</v>
      </c>
      <c r="D355" s="322">
        <v>20076</v>
      </c>
      <c r="E355" s="322">
        <v>20976</v>
      </c>
      <c r="F355" s="252">
        <f>E355-D355</f>
        <v>900</v>
      </c>
      <c r="G355" s="253">
        <f aca="true" t="shared" si="11" ref="G355:G361">F355*100/D355</f>
        <v>4.482964734010759</v>
      </c>
      <c r="H355" s="380" t="s">
        <v>573</v>
      </c>
      <c r="I355" s="222"/>
      <c r="J355" s="222"/>
      <c r="K355" s="254">
        <v>20976000</v>
      </c>
    </row>
    <row r="356" spans="1:11" ht="19.5" customHeight="1">
      <c r="A356" s="230"/>
      <c r="B356" s="216"/>
      <c r="C356" s="209" t="s">
        <v>231</v>
      </c>
      <c r="D356" s="275">
        <v>18500</v>
      </c>
      <c r="E356" s="275">
        <v>19200</v>
      </c>
      <c r="F356" s="226">
        <f aca="true" t="shared" si="12" ref="F356:F363">E356-D356</f>
        <v>700</v>
      </c>
      <c r="G356" s="227">
        <f t="shared" si="11"/>
        <v>3.7837837837837838</v>
      </c>
      <c r="H356" s="337" t="s">
        <v>598</v>
      </c>
      <c r="I356" s="193"/>
      <c r="J356" s="193"/>
      <c r="K356" s="132">
        <v>19200000</v>
      </c>
    </row>
    <row r="357" spans="1:11" ht="19.5" customHeight="1">
      <c r="A357" s="230"/>
      <c r="B357" s="216"/>
      <c r="C357" s="209" t="s">
        <v>230</v>
      </c>
      <c r="D357" s="275">
        <v>0</v>
      </c>
      <c r="E357" s="275">
        <v>0</v>
      </c>
      <c r="F357" s="226">
        <f t="shared" si="12"/>
        <v>0</v>
      </c>
      <c r="G357" s="227">
        <v>0</v>
      </c>
      <c r="H357" s="338"/>
      <c r="I357" s="193"/>
      <c r="J357" s="193"/>
      <c r="K357" s="132">
        <v>0</v>
      </c>
    </row>
    <row r="358" spans="1:11" ht="19.5" customHeight="1">
      <c r="A358" s="230"/>
      <c r="B358" s="216"/>
      <c r="C358" s="209" t="s">
        <v>229</v>
      </c>
      <c r="D358" s="275">
        <v>0</v>
      </c>
      <c r="E358" s="275">
        <v>0</v>
      </c>
      <c r="F358" s="226">
        <f t="shared" si="12"/>
        <v>0</v>
      </c>
      <c r="G358" s="227">
        <v>0</v>
      </c>
      <c r="H358" s="338"/>
      <c r="I358" s="193"/>
      <c r="J358" s="193"/>
      <c r="K358" s="278">
        <v>0</v>
      </c>
    </row>
    <row r="359" spans="1:11" ht="19.5" customHeight="1">
      <c r="A359" s="230"/>
      <c r="B359" s="216"/>
      <c r="C359" s="209" t="s">
        <v>228</v>
      </c>
      <c r="D359" s="275">
        <v>13646</v>
      </c>
      <c r="E359" s="275">
        <v>16486</v>
      </c>
      <c r="F359" s="226">
        <f t="shared" si="12"/>
        <v>2840</v>
      </c>
      <c r="G359" s="227">
        <f t="shared" si="11"/>
        <v>20.811959548585666</v>
      </c>
      <c r="H359" s="337" t="s">
        <v>599</v>
      </c>
      <c r="I359" s="119"/>
      <c r="J359" s="119"/>
      <c r="K359" s="237">
        <v>16486000</v>
      </c>
    </row>
    <row r="360" spans="1:11" ht="19.5" customHeight="1">
      <c r="A360" s="230"/>
      <c r="B360" s="216"/>
      <c r="C360" s="209" t="s">
        <v>267</v>
      </c>
      <c r="D360" s="275">
        <v>600</v>
      </c>
      <c r="E360" s="275">
        <v>600</v>
      </c>
      <c r="F360" s="226">
        <f t="shared" si="12"/>
        <v>0</v>
      </c>
      <c r="G360" s="227">
        <f t="shared" si="11"/>
        <v>0</v>
      </c>
      <c r="H360" s="338" t="s">
        <v>574</v>
      </c>
      <c r="I360" s="193"/>
      <c r="J360" s="193"/>
      <c r="K360" s="132">
        <v>600000</v>
      </c>
    </row>
    <row r="361" spans="1:11" ht="19.5" customHeight="1">
      <c r="A361" s="230"/>
      <c r="B361" s="216"/>
      <c r="C361" s="209" t="s">
        <v>232</v>
      </c>
      <c r="D361" s="275">
        <v>4000</v>
      </c>
      <c r="E361" s="275">
        <v>4000</v>
      </c>
      <c r="F361" s="226">
        <f t="shared" si="12"/>
        <v>0</v>
      </c>
      <c r="G361" s="227">
        <f t="shared" si="11"/>
        <v>0</v>
      </c>
      <c r="H361" s="339" t="s">
        <v>600</v>
      </c>
      <c r="I361" s="193"/>
      <c r="J361" s="193"/>
      <c r="K361" s="132">
        <v>4000000</v>
      </c>
    </row>
    <row r="362" spans="1:11" ht="19.5" customHeight="1">
      <c r="A362" s="230"/>
      <c r="B362" s="216"/>
      <c r="C362" s="209" t="s">
        <v>233</v>
      </c>
      <c r="D362" s="275">
        <v>0</v>
      </c>
      <c r="E362" s="275">
        <v>0</v>
      </c>
      <c r="F362" s="226">
        <f>E362-D362</f>
        <v>0</v>
      </c>
      <c r="G362" s="227">
        <v>0</v>
      </c>
      <c r="H362" s="339" t="s">
        <v>601</v>
      </c>
      <c r="I362" s="193"/>
      <c r="J362" s="193"/>
      <c r="K362" s="132">
        <v>0</v>
      </c>
    </row>
    <row r="363" spans="1:11" ht="19.5" customHeight="1">
      <c r="A363" s="374"/>
      <c r="B363" s="292"/>
      <c r="C363" s="209" t="s">
        <v>923</v>
      </c>
      <c r="D363" s="275">
        <v>11000</v>
      </c>
      <c r="E363" s="275">
        <v>11000</v>
      </c>
      <c r="F363" s="226">
        <f t="shared" si="12"/>
        <v>0</v>
      </c>
      <c r="G363" s="227">
        <v>0</v>
      </c>
      <c r="H363" s="339" t="s">
        <v>924</v>
      </c>
      <c r="I363" s="193"/>
      <c r="J363" s="193"/>
      <c r="K363" s="132">
        <v>11000000</v>
      </c>
    </row>
    <row r="364" spans="1:11" ht="23.25" customHeight="1">
      <c r="A364" s="274" t="s">
        <v>575</v>
      </c>
      <c r="B364" s="592" t="s">
        <v>11</v>
      </c>
      <c r="C364" s="593"/>
      <c r="D364" s="279">
        <f>SUM(D365)</f>
        <v>0</v>
      </c>
      <c r="E364" s="279">
        <f>SUM(E365)</f>
        <v>0</v>
      </c>
      <c r="F364" s="280">
        <f aca="true" t="shared" si="13" ref="F364:F369">E364-D364</f>
        <v>0</v>
      </c>
      <c r="G364" s="220">
        <v>0</v>
      </c>
      <c r="H364" s="221"/>
      <c r="I364" s="281"/>
      <c r="J364" s="281"/>
      <c r="K364" s="125">
        <v>0</v>
      </c>
    </row>
    <row r="365" spans="1:11" ht="23.25" customHeight="1">
      <c r="A365" s="420" t="s">
        <v>234</v>
      </c>
      <c r="B365" s="292" t="s">
        <v>235</v>
      </c>
      <c r="C365" s="238" t="s">
        <v>576</v>
      </c>
      <c r="D365" s="275">
        <v>0</v>
      </c>
      <c r="E365" s="275">
        <v>0</v>
      </c>
      <c r="F365" s="226">
        <f t="shared" si="13"/>
        <v>0</v>
      </c>
      <c r="G365" s="227">
        <v>0</v>
      </c>
      <c r="H365" s="242" t="s">
        <v>239</v>
      </c>
      <c r="I365" s="193"/>
      <c r="J365" s="193"/>
      <c r="K365" s="132">
        <v>0</v>
      </c>
    </row>
    <row r="366" spans="1:11" ht="23.25" customHeight="1">
      <c r="A366" s="274" t="s">
        <v>236</v>
      </c>
      <c r="B366" s="592" t="s">
        <v>11</v>
      </c>
      <c r="C366" s="594"/>
      <c r="D366" s="279">
        <f>SUM(D367)</f>
        <v>989</v>
      </c>
      <c r="E366" s="279">
        <f>SUM(E367)</f>
        <v>0</v>
      </c>
      <c r="F366" s="280">
        <f t="shared" si="13"/>
        <v>-989</v>
      </c>
      <c r="G366" s="298">
        <v>0</v>
      </c>
      <c r="H366" s="194"/>
      <c r="I366" s="119"/>
      <c r="J366" s="119"/>
      <c r="K366" s="125">
        <v>0</v>
      </c>
    </row>
    <row r="367" spans="1:11" ht="23.25" customHeight="1">
      <c r="A367" s="420"/>
      <c r="B367" s="292" t="s">
        <v>23</v>
      </c>
      <c r="C367" s="238" t="s">
        <v>24</v>
      </c>
      <c r="D367" s="275">
        <v>989</v>
      </c>
      <c r="E367" s="239">
        <v>0</v>
      </c>
      <c r="F367" s="226">
        <f t="shared" si="13"/>
        <v>-989</v>
      </c>
      <c r="G367" s="227">
        <v>0</v>
      </c>
      <c r="H367" s="242" t="s">
        <v>237</v>
      </c>
      <c r="I367" s="119"/>
      <c r="J367" s="119"/>
      <c r="K367" s="125">
        <v>0</v>
      </c>
    </row>
    <row r="368" spans="1:11" ht="23.25" customHeight="1">
      <c r="A368" s="230" t="s">
        <v>238</v>
      </c>
      <c r="B368" s="592" t="s">
        <v>11</v>
      </c>
      <c r="C368" s="593"/>
      <c r="D368" s="279">
        <v>4000</v>
      </c>
      <c r="E368" s="279">
        <f>SUM(E369)</f>
        <v>8532</v>
      </c>
      <c r="F368" s="280">
        <f t="shared" si="13"/>
        <v>4532</v>
      </c>
      <c r="G368" s="220">
        <f>F368*100/D368</f>
        <v>113.3</v>
      </c>
      <c r="H368" s="194"/>
      <c r="I368" s="119"/>
      <c r="J368" s="119"/>
      <c r="K368" s="125">
        <v>8532000</v>
      </c>
    </row>
    <row r="369" spans="1:11" ht="23.25" customHeight="1" thickBot="1">
      <c r="A369" s="243"/>
      <c r="B369" s="326" t="s">
        <v>38</v>
      </c>
      <c r="C369" s="327" t="s">
        <v>39</v>
      </c>
      <c r="D369" s="328">
        <v>4000</v>
      </c>
      <c r="E369" s="328">
        <v>8532</v>
      </c>
      <c r="F369" s="258">
        <f t="shared" si="13"/>
        <v>4532</v>
      </c>
      <c r="G369" s="259">
        <f>F369*100/D369</f>
        <v>113.3</v>
      </c>
      <c r="H369" s="282" t="s">
        <v>577</v>
      </c>
      <c r="I369" s="260"/>
      <c r="J369" s="260"/>
      <c r="K369" s="272">
        <v>8532000</v>
      </c>
    </row>
    <row r="370" spans="1:11" ht="13.5">
      <c r="A370" s="329"/>
      <c r="B370" s="329"/>
      <c r="C370" s="329"/>
      <c r="D370" s="329"/>
      <c r="E370" s="329"/>
      <c r="F370" s="329"/>
      <c r="G370" s="329"/>
      <c r="H370" s="329"/>
      <c r="I370" s="329"/>
      <c r="J370" s="329"/>
      <c r="K370" s="329"/>
    </row>
    <row r="371" spans="1:11" ht="13.5">
      <c r="A371" s="329"/>
      <c r="B371" s="329"/>
      <c r="C371" s="329"/>
      <c r="D371" s="329"/>
      <c r="E371" s="329"/>
      <c r="F371" s="329"/>
      <c r="G371" s="329"/>
      <c r="H371" s="329"/>
      <c r="I371" s="329"/>
      <c r="J371" s="329"/>
      <c r="K371" s="329"/>
    </row>
    <row r="372" spans="1:11" ht="13.5">
      <c r="A372" s="329"/>
      <c r="B372" s="329"/>
      <c r="C372" s="329"/>
      <c r="D372" s="329"/>
      <c r="E372" s="329"/>
      <c r="F372" s="329"/>
      <c r="G372" s="329"/>
      <c r="H372" s="329"/>
      <c r="I372" s="329"/>
      <c r="J372" s="329"/>
      <c r="K372" s="329"/>
    </row>
    <row r="373" spans="1:11" ht="13.5">
      <c r="A373" s="329"/>
      <c r="B373" s="329"/>
      <c r="C373" s="329"/>
      <c r="D373" s="329"/>
      <c r="E373" s="329"/>
      <c r="F373" s="329"/>
      <c r="G373" s="329"/>
      <c r="H373" s="329"/>
      <c r="I373" s="329"/>
      <c r="J373" s="329"/>
      <c r="K373" s="329"/>
    </row>
    <row r="374" spans="1:11" ht="13.5">
      <c r="A374" s="329"/>
      <c r="B374" s="329"/>
      <c r="C374" s="329"/>
      <c r="D374" s="329"/>
      <c r="E374" s="329"/>
      <c r="F374" s="329"/>
      <c r="G374" s="329"/>
      <c r="H374" s="329"/>
      <c r="I374" s="329"/>
      <c r="J374" s="329"/>
      <c r="K374" s="329"/>
    </row>
    <row r="375" spans="1:11" ht="13.5">
      <c r="A375" s="329"/>
      <c r="B375" s="329"/>
      <c r="C375" s="329"/>
      <c r="D375" s="329"/>
      <c r="E375" s="329"/>
      <c r="F375" s="329"/>
      <c r="G375" s="329"/>
      <c r="H375" s="329"/>
      <c r="I375" s="329"/>
      <c r="J375" s="329"/>
      <c r="K375" s="329"/>
    </row>
    <row r="376" spans="1:11" ht="13.5">
      <c r="A376" s="329"/>
      <c r="B376" s="329"/>
      <c r="C376" s="329"/>
      <c r="D376" s="329"/>
      <c r="E376" s="329"/>
      <c r="F376" s="329"/>
      <c r="G376" s="329"/>
      <c r="H376" s="329"/>
      <c r="I376" s="329"/>
      <c r="J376" s="329"/>
      <c r="K376" s="329"/>
    </row>
    <row r="377" spans="1:11" ht="13.5">
      <c r="A377" s="329"/>
      <c r="B377" s="329"/>
      <c r="C377" s="329"/>
      <c r="D377" s="329"/>
      <c r="E377" s="329"/>
      <c r="F377" s="329"/>
      <c r="G377" s="329"/>
      <c r="H377" s="329"/>
      <c r="I377" s="329"/>
      <c r="J377" s="329"/>
      <c r="K377" s="329"/>
    </row>
    <row r="378" spans="1:11" ht="13.5">
      <c r="A378" s="329"/>
      <c r="B378" s="329"/>
      <c r="C378" s="329"/>
      <c r="D378" s="329"/>
      <c r="E378" s="329"/>
      <c r="F378" s="329"/>
      <c r="G378" s="329"/>
      <c r="H378" s="329"/>
      <c r="I378" s="329"/>
      <c r="J378" s="329"/>
      <c r="K378" s="329"/>
    </row>
    <row r="379" spans="1:11" ht="13.5">
      <c r="A379" s="329"/>
      <c r="B379" s="329"/>
      <c r="C379" s="329"/>
      <c r="D379" s="329"/>
      <c r="E379" s="329"/>
      <c r="F379" s="329"/>
      <c r="G379" s="329"/>
      <c r="H379" s="329"/>
      <c r="I379" s="329"/>
      <c r="J379" s="329"/>
      <c r="K379" s="329"/>
    </row>
    <row r="380" spans="1:11" ht="13.5">
      <c r="A380" s="329"/>
      <c r="B380" s="329"/>
      <c r="C380" s="329"/>
      <c r="D380" s="329"/>
      <c r="E380" s="329"/>
      <c r="F380" s="329"/>
      <c r="G380" s="329"/>
      <c r="H380" s="329"/>
      <c r="I380" s="329"/>
      <c r="J380" s="329"/>
      <c r="K380" s="329"/>
    </row>
    <row r="381" spans="1:11" ht="13.5">
      <c r="A381" s="329"/>
      <c r="B381" s="329"/>
      <c r="C381" s="329"/>
      <c r="D381" s="329"/>
      <c r="E381" s="329"/>
      <c r="F381" s="329"/>
      <c r="G381" s="329"/>
      <c r="H381" s="329"/>
      <c r="I381" s="329"/>
      <c r="J381" s="329"/>
      <c r="K381" s="329"/>
    </row>
    <row r="382" spans="1:11" ht="13.5">
      <c r="A382" s="329"/>
      <c r="B382" s="329"/>
      <c r="C382" s="329"/>
      <c r="D382" s="329"/>
      <c r="E382" s="329"/>
      <c r="F382" s="329"/>
      <c r="G382" s="329"/>
      <c r="H382" s="329"/>
      <c r="I382" s="329"/>
      <c r="J382" s="329"/>
      <c r="K382" s="329"/>
    </row>
    <row r="383" spans="1:11" ht="13.5">
      <c r="A383" s="329"/>
      <c r="B383" s="329"/>
      <c r="C383" s="329"/>
      <c r="D383" s="329"/>
      <c r="E383" s="329"/>
      <c r="F383" s="329"/>
      <c r="G383" s="329"/>
      <c r="H383" s="329"/>
      <c r="I383" s="329"/>
      <c r="J383" s="329"/>
      <c r="K383" s="329"/>
    </row>
    <row r="384" spans="1:11" ht="13.5">
      <c r="A384" s="329"/>
      <c r="B384" s="329"/>
      <c r="C384" s="329"/>
      <c r="D384" s="329"/>
      <c r="E384" s="329"/>
      <c r="F384" s="329"/>
      <c r="G384" s="329"/>
      <c r="H384" s="329"/>
      <c r="I384" s="329"/>
      <c r="J384" s="329"/>
      <c r="K384" s="329"/>
    </row>
    <row r="385" spans="1:11" ht="16.5" customHeight="1">
      <c r="A385" s="590" t="s">
        <v>979</v>
      </c>
      <c r="B385" s="590"/>
      <c r="C385" s="590"/>
      <c r="D385" s="590"/>
      <c r="E385" s="590"/>
      <c r="F385" s="590"/>
      <c r="G385" s="590"/>
      <c r="H385" s="590"/>
      <c r="I385" s="590"/>
      <c r="J385" s="590"/>
      <c r="K385" s="590"/>
    </row>
    <row r="386" spans="1:11" ht="14.25" thickBot="1">
      <c r="A386" s="591" t="s">
        <v>681</v>
      </c>
      <c r="B386" s="591"/>
      <c r="C386" s="591"/>
      <c r="D386" s="591"/>
      <c r="E386" s="591"/>
      <c r="F386" s="591"/>
      <c r="G386" s="591"/>
      <c r="H386" s="591"/>
      <c r="I386" s="591"/>
      <c r="J386" s="591"/>
      <c r="K386" s="591"/>
    </row>
    <row r="387" spans="1:11" ht="17.25" customHeight="1">
      <c r="A387" s="584" t="s">
        <v>682</v>
      </c>
      <c r="B387" s="574" t="s">
        <v>683</v>
      </c>
      <c r="C387" s="574" t="s">
        <v>684</v>
      </c>
      <c r="D387" s="574" t="s">
        <v>1076</v>
      </c>
      <c r="E387" s="574" t="s">
        <v>1077</v>
      </c>
      <c r="F387" s="577" t="s">
        <v>685</v>
      </c>
      <c r="G387" s="552"/>
      <c r="H387" s="578" t="s">
        <v>686</v>
      </c>
      <c r="I387" s="579"/>
      <c r="J387" s="579"/>
      <c r="K387" s="580"/>
    </row>
    <row r="388" spans="1:11" ht="18" customHeight="1" thickBot="1">
      <c r="A388" s="585"/>
      <c r="B388" s="575"/>
      <c r="C388" s="575"/>
      <c r="D388" s="575"/>
      <c r="E388" s="575"/>
      <c r="F388" s="244" t="s">
        <v>687</v>
      </c>
      <c r="G388" s="344" t="s">
        <v>688</v>
      </c>
      <c r="H388" s="581"/>
      <c r="I388" s="582"/>
      <c r="J388" s="582"/>
      <c r="K388" s="583"/>
    </row>
    <row r="389" spans="1:11" ht="16.5" customHeight="1">
      <c r="A389" s="586" t="s">
        <v>689</v>
      </c>
      <c r="B389" s="560"/>
      <c r="C389" s="587"/>
      <c r="D389" s="504">
        <v>636789</v>
      </c>
      <c r="E389" s="504">
        <v>645575</v>
      </c>
      <c r="F389" s="263">
        <f aca="true" t="shared" si="14" ref="F389:F417">E389-D389</f>
        <v>8786</v>
      </c>
      <c r="G389" s="264">
        <f aca="true" t="shared" si="15" ref="G389:G394">F389*100/D389</f>
        <v>1.3797348886365814</v>
      </c>
      <c r="H389" s="265"/>
      <c r="I389" s="516"/>
      <c r="J389" s="516"/>
      <c r="K389" s="517"/>
    </row>
    <row r="390" spans="1:11" ht="20.25" customHeight="1">
      <c r="A390" s="588" t="s">
        <v>1088</v>
      </c>
      <c r="B390" s="576"/>
      <c r="C390" s="520"/>
      <c r="D390" s="185">
        <f>SUM(D391+D407+D434+D436+D438+D443)</f>
        <v>468511</v>
      </c>
      <c r="E390" s="185">
        <f>SUM(E391+E407+E434+E436+E438+E443)</f>
        <v>479032</v>
      </c>
      <c r="F390" s="284">
        <f t="shared" si="14"/>
        <v>10521</v>
      </c>
      <c r="G390" s="227">
        <f t="shared" si="15"/>
        <v>2.2456249693176895</v>
      </c>
      <c r="H390" s="228"/>
      <c r="I390" s="350"/>
      <c r="J390" s="350"/>
      <c r="K390" s="132">
        <f>SUM(K391+K407+K434+K436+K438+K443)</f>
        <v>479031811</v>
      </c>
    </row>
    <row r="391" spans="1:11" ht="20.25" customHeight="1">
      <c r="A391" s="428" t="s">
        <v>956</v>
      </c>
      <c r="B391" s="589" t="s">
        <v>690</v>
      </c>
      <c r="C391" s="520"/>
      <c r="D391" s="193">
        <f>SUM(D393:D406)</f>
        <v>20910</v>
      </c>
      <c r="E391" s="185">
        <f>SUM(E392+E435+E472+E508+E512+E539)</f>
        <v>21950</v>
      </c>
      <c r="F391" s="284">
        <f t="shared" si="14"/>
        <v>1040</v>
      </c>
      <c r="G391" s="227">
        <f t="shared" si="15"/>
        <v>4.973696795791487</v>
      </c>
      <c r="H391" s="343" t="s">
        <v>691</v>
      </c>
      <c r="I391" s="350"/>
      <c r="J391" s="350"/>
      <c r="K391" s="132">
        <f>SUM(K393:K406)</f>
        <v>21950000</v>
      </c>
    </row>
    <row r="392" spans="1:11" ht="16.5" customHeight="1">
      <c r="A392" s="223"/>
      <c r="B392" s="201" t="s">
        <v>692</v>
      </c>
      <c r="C392" s="224" t="s">
        <v>693</v>
      </c>
      <c r="D392" s="193">
        <f>SUM(D393:D406)</f>
        <v>20910</v>
      </c>
      <c r="E392" s="185">
        <f>SUM(E393:E406)</f>
        <v>21950</v>
      </c>
      <c r="F392" s="284">
        <f t="shared" si="14"/>
        <v>1040</v>
      </c>
      <c r="G392" s="227">
        <f t="shared" si="15"/>
        <v>4.973696795791487</v>
      </c>
      <c r="H392" s="343"/>
      <c r="I392" s="229"/>
      <c r="J392" s="229"/>
      <c r="K392" s="132">
        <f>SUM(K393:K406)</f>
        <v>21950000</v>
      </c>
    </row>
    <row r="393" spans="1:11" ht="16.5" customHeight="1">
      <c r="A393" s="230"/>
      <c r="B393" s="231"/>
      <c r="C393" s="209" t="s">
        <v>694</v>
      </c>
      <c r="D393" s="185">
        <v>450</v>
      </c>
      <c r="E393" s="185">
        <v>450</v>
      </c>
      <c r="F393" s="226">
        <f t="shared" si="14"/>
        <v>0</v>
      </c>
      <c r="G393" s="227">
        <f t="shared" si="15"/>
        <v>0</v>
      </c>
      <c r="H393" s="330" t="s">
        <v>921</v>
      </c>
      <c r="I393" s="193">
        <v>30000</v>
      </c>
      <c r="J393" s="193" t="s">
        <v>695</v>
      </c>
      <c r="K393" s="237">
        <f>SUM(I393*15)</f>
        <v>450000</v>
      </c>
    </row>
    <row r="394" spans="1:11" ht="16.5" customHeight="1">
      <c r="A394" s="230"/>
      <c r="B394" s="231"/>
      <c r="C394" s="212" t="s">
        <v>696</v>
      </c>
      <c r="D394" s="232">
        <v>2100</v>
      </c>
      <c r="E394" s="232">
        <v>5500</v>
      </c>
      <c r="F394" s="241">
        <f>E394-D394</f>
        <v>3400</v>
      </c>
      <c r="G394" s="235">
        <f t="shared" si="15"/>
        <v>161.9047619047619</v>
      </c>
      <c r="H394" s="340" t="s">
        <v>922</v>
      </c>
      <c r="I394" s="341">
        <v>70000</v>
      </c>
      <c r="J394" s="341" t="s">
        <v>697</v>
      </c>
      <c r="K394" s="309">
        <f>SUM(I394*30)</f>
        <v>2100000</v>
      </c>
    </row>
    <row r="395" spans="1:11" ht="16.5" customHeight="1">
      <c r="A395" s="230"/>
      <c r="B395" s="231"/>
      <c r="C395" s="208"/>
      <c r="D395" s="236"/>
      <c r="E395" s="236"/>
      <c r="F395" s="252"/>
      <c r="G395" s="253"/>
      <c r="H395" s="333" t="s">
        <v>1078</v>
      </c>
      <c r="I395" s="249">
        <v>50000</v>
      </c>
      <c r="J395" s="249" t="s">
        <v>1079</v>
      </c>
      <c r="K395" s="254">
        <f>SUM(I395*20)</f>
        <v>1000000</v>
      </c>
    </row>
    <row r="396" spans="1:11" ht="16.5" customHeight="1">
      <c r="A396" s="230"/>
      <c r="B396" s="231"/>
      <c r="C396" s="238"/>
      <c r="D396" s="239"/>
      <c r="E396" s="239"/>
      <c r="F396" s="280"/>
      <c r="G396" s="220"/>
      <c r="H396" s="194" t="s">
        <v>952</v>
      </c>
      <c r="I396" s="119">
        <v>2400000</v>
      </c>
      <c r="J396" s="119" t="s">
        <v>109</v>
      </c>
      <c r="K396" s="125">
        <f>SUM(I396*1)</f>
        <v>2400000</v>
      </c>
    </row>
    <row r="397" spans="1:11" ht="16.5" customHeight="1">
      <c r="A397" s="230"/>
      <c r="B397" s="255"/>
      <c r="C397" s="212" t="s">
        <v>698</v>
      </c>
      <c r="D397" s="232">
        <v>10560</v>
      </c>
      <c r="E397" s="232">
        <v>7000</v>
      </c>
      <c r="F397" s="241">
        <f>E397-D397</f>
        <v>-3560</v>
      </c>
      <c r="G397" s="235">
        <f>F397*100/D397</f>
        <v>-33.71212121212121</v>
      </c>
      <c r="H397" s="373" t="s">
        <v>908</v>
      </c>
      <c r="I397" s="193">
        <v>35000</v>
      </c>
      <c r="J397" s="193" t="s">
        <v>59</v>
      </c>
      <c r="K397" s="132">
        <f>SUM(I397*2*12)</f>
        <v>840000</v>
      </c>
    </row>
    <row r="398" spans="1:11" ht="16.5" customHeight="1">
      <c r="A398" s="230"/>
      <c r="B398" s="255"/>
      <c r="C398" s="208"/>
      <c r="D398" s="236"/>
      <c r="E398" s="236"/>
      <c r="F398" s="252"/>
      <c r="G398" s="253"/>
      <c r="H398" s="373" t="s">
        <v>909</v>
      </c>
      <c r="I398" s="193">
        <v>35000</v>
      </c>
      <c r="J398" s="193" t="s">
        <v>59</v>
      </c>
      <c r="K398" s="132">
        <f>SUM(I398*2*12)</f>
        <v>840000</v>
      </c>
    </row>
    <row r="399" spans="1:11" ht="16.5" customHeight="1">
      <c r="A399" s="230"/>
      <c r="B399" s="255"/>
      <c r="C399" s="208"/>
      <c r="D399" s="236"/>
      <c r="E399" s="236"/>
      <c r="F399" s="252"/>
      <c r="G399" s="253"/>
      <c r="H399" s="373" t="s">
        <v>910</v>
      </c>
      <c r="I399" s="193">
        <v>20000</v>
      </c>
      <c r="J399" s="193" t="s">
        <v>915</v>
      </c>
      <c r="K399" s="132">
        <f>SUM(I399*20*4)</f>
        <v>1600000</v>
      </c>
    </row>
    <row r="400" spans="1:11" ht="16.5" customHeight="1">
      <c r="A400" s="230"/>
      <c r="B400" s="255"/>
      <c r="C400" s="208"/>
      <c r="D400" s="236"/>
      <c r="E400" s="236"/>
      <c r="F400" s="252"/>
      <c r="G400" s="253"/>
      <c r="H400" s="373" t="s">
        <v>916</v>
      </c>
      <c r="I400" s="193">
        <v>7000</v>
      </c>
      <c r="J400" s="193" t="s">
        <v>880</v>
      </c>
      <c r="K400" s="132">
        <f>SUM(I400*10)</f>
        <v>70000</v>
      </c>
    </row>
    <row r="401" spans="1:11" ht="16.5" customHeight="1">
      <c r="A401" s="230"/>
      <c r="B401" s="255"/>
      <c r="C401" s="208"/>
      <c r="D401" s="236"/>
      <c r="E401" s="236"/>
      <c r="F401" s="252"/>
      <c r="G401" s="253"/>
      <c r="H401" s="373" t="s">
        <v>911</v>
      </c>
      <c r="I401" s="193">
        <v>20000</v>
      </c>
      <c r="J401" s="424" t="s">
        <v>917</v>
      </c>
      <c r="K401" s="132">
        <f>SUM(I401*15*3*2)</f>
        <v>1800000</v>
      </c>
    </row>
    <row r="402" spans="1:11" ht="16.5" customHeight="1">
      <c r="A402" s="230"/>
      <c r="B402" s="255"/>
      <c r="C402" s="208"/>
      <c r="D402" s="236"/>
      <c r="E402" s="236"/>
      <c r="F402" s="252"/>
      <c r="G402" s="253"/>
      <c r="H402" s="373" t="s">
        <v>912</v>
      </c>
      <c r="I402" s="193">
        <v>20000</v>
      </c>
      <c r="J402" s="332" t="s">
        <v>918</v>
      </c>
      <c r="K402" s="132">
        <f>SUM(I402*20*2)</f>
        <v>800000</v>
      </c>
    </row>
    <row r="403" spans="1:11" ht="16.5" customHeight="1">
      <c r="A403" s="230"/>
      <c r="B403" s="255"/>
      <c r="C403" s="208"/>
      <c r="D403" s="236"/>
      <c r="E403" s="236"/>
      <c r="F403" s="252"/>
      <c r="G403" s="253"/>
      <c r="H403" s="373" t="s">
        <v>913</v>
      </c>
      <c r="I403" s="193">
        <v>15000</v>
      </c>
      <c r="J403" s="193" t="s">
        <v>919</v>
      </c>
      <c r="K403" s="132">
        <f>SUM(I403*30)</f>
        <v>450000</v>
      </c>
    </row>
    <row r="404" spans="1:11" ht="16.5" customHeight="1">
      <c r="A404" s="230"/>
      <c r="B404" s="255"/>
      <c r="C404" s="238"/>
      <c r="D404" s="239"/>
      <c r="E404" s="239"/>
      <c r="F404" s="280"/>
      <c r="G404" s="220"/>
      <c r="H404" s="373" t="s">
        <v>914</v>
      </c>
      <c r="I404" s="193">
        <v>30000</v>
      </c>
      <c r="J404" s="193" t="s">
        <v>920</v>
      </c>
      <c r="K404" s="132">
        <f>SUM(I404*20)</f>
        <v>600000</v>
      </c>
    </row>
    <row r="405" spans="1:11" ht="16.5" customHeight="1">
      <c r="A405" s="230"/>
      <c r="B405" s="255"/>
      <c r="C405" s="238" t="s">
        <v>863</v>
      </c>
      <c r="D405" s="239">
        <v>0</v>
      </c>
      <c r="E405" s="239">
        <v>1200</v>
      </c>
      <c r="F405" s="226">
        <f>E405-D405</f>
        <v>1200</v>
      </c>
      <c r="G405" s="227">
        <v>0</v>
      </c>
      <c r="H405" s="336" t="s">
        <v>861</v>
      </c>
      <c r="I405" s="193">
        <v>25000</v>
      </c>
      <c r="J405" s="193" t="s">
        <v>862</v>
      </c>
      <c r="K405" s="132">
        <f>SUM(I405*4*12)</f>
        <v>1200000</v>
      </c>
    </row>
    <row r="406" spans="1:11" ht="16.5" customHeight="1">
      <c r="A406" s="374"/>
      <c r="B406" s="276"/>
      <c r="C406" s="238" t="s">
        <v>864</v>
      </c>
      <c r="D406" s="275">
        <v>7800</v>
      </c>
      <c r="E406" s="239">
        <v>7800</v>
      </c>
      <c r="F406" s="280">
        <f t="shared" si="14"/>
        <v>0</v>
      </c>
      <c r="G406" s="220">
        <f>F406*100/D406</f>
        <v>0</v>
      </c>
      <c r="H406" s="194" t="s">
        <v>699</v>
      </c>
      <c r="I406" s="277">
        <v>130000</v>
      </c>
      <c r="J406" s="418" t="s">
        <v>869</v>
      </c>
      <c r="K406" s="278">
        <f>SUM(I406*5*12)</f>
        <v>7800000</v>
      </c>
    </row>
    <row r="407" spans="1:11" ht="15.75" customHeight="1">
      <c r="A407" s="248" t="s">
        <v>700</v>
      </c>
      <c r="B407" s="589" t="s">
        <v>690</v>
      </c>
      <c r="C407" s="520"/>
      <c r="D407" s="185">
        <f>SUM(D408+D420+D431)</f>
        <v>424461</v>
      </c>
      <c r="E407" s="185">
        <f>SUM(E408+E420+E431)</f>
        <v>434801</v>
      </c>
      <c r="F407" s="284">
        <f t="shared" si="14"/>
        <v>10340</v>
      </c>
      <c r="G407" s="227">
        <f>F407*100/D407</f>
        <v>2.4360306365013513</v>
      </c>
      <c r="H407" s="343" t="s">
        <v>701</v>
      </c>
      <c r="I407" s="350"/>
      <c r="J407" s="350"/>
      <c r="K407" s="132">
        <f>SUM(K408+K420+K431)</f>
        <v>434801000</v>
      </c>
    </row>
    <row r="408" spans="1:11" ht="15.75" customHeight="1">
      <c r="A408" s="248" t="s">
        <v>702</v>
      </c>
      <c r="B408" s="201" t="s">
        <v>703</v>
      </c>
      <c r="C408" s="215" t="s">
        <v>693</v>
      </c>
      <c r="D408" s="185">
        <f>SUM(D409:D417)</f>
        <v>291639</v>
      </c>
      <c r="E408" s="185">
        <f>SUM(E409:E417)</f>
        <v>292539</v>
      </c>
      <c r="F408" s="295">
        <f t="shared" si="14"/>
        <v>900</v>
      </c>
      <c r="G408" s="235">
        <f>F408*100/D408</f>
        <v>0.30860070155226155</v>
      </c>
      <c r="H408" s="343" t="s">
        <v>704</v>
      </c>
      <c r="I408" s="229"/>
      <c r="J408" s="229"/>
      <c r="K408" s="132">
        <f>SUM(K409:K417)</f>
        <v>292539000</v>
      </c>
    </row>
    <row r="409" spans="1:11" ht="15.75" customHeight="1">
      <c r="A409" s="230"/>
      <c r="B409" s="255"/>
      <c r="C409" s="209" t="s">
        <v>705</v>
      </c>
      <c r="D409" s="185">
        <v>179390</v>
      </c>
      <c r="E409" s="185">
        <v>180538</v>
      </c>
      <c r="F409" s="241">
        <f t="shared" si="14"/>
        <v>1148</v>
      </c>
      <c r="G409" s="235">
        <v>0</v>
      </c>
      <c r="H409" s="330" t="s">
        <v>755</v>
      </c>
      <c r="I409" s="193"/>
      <c r="J409" s="193"/>
      <c r="K409" s="132">
        <v>180538000</v>
      </c>
    </row>
    <row r="410" spans="1:11" ht="15.75" customHeight="1">
      <c r="A410" s="230"/>
      <c r="B410" s="255"/>
      <c r="C410" s="209" t="s">
        <v>706</v>
      </c>
      <c r="D410" s="185">
        <v>19670</v>
      </c>
      <c r="E410" s="185">
        <v>19326</v>
      </c>
      <c r="F410" s="241">
        <f t="shared" si="14"/>
        <v>-344</v>
      </c>
      <c r="G410" s="235">
        <v>0</v>
      </c>
      <c r="H410" s="336" t="s">
        <v>928</v>
      </c>
      <c r="I410" s="193"/>
      <c r="J410" s="193"/>
      <c r="K410" s="132">
        <v>19326000</v>
      </c>
    </row>
    <row r="411" spans="1:11" ht="15.75" customHeight="1">
      <c r="A411" s="230"/>
      <c r="B411" s="255"/>
      <c r="C411" s="209" t="s">
        <v>707</v>
      </c>
      <c r="D411" s="185">
        <v>29368</v>
      </c>
      <c r="E411" s="185">
        <v>28097</v>
      </c>
      <c r="F411" s="241">
        <f t="shared" si="14"/>
        <v>-1271</v>
      </c>
      <c r="G411" s="235">
        <v>0</v>
      </c>
      <c r="H411" s="242" t="s">
        <v>708</v>
      </c>
      <c r="I411" s="193"/>
      <c r="J411" s="193"/>
      <c r="K411" s="132">
        <v>28097000</v>
      </c>
    </row>
    <row r="412" spans="1:11" ht="15.75" customHeight="1">
      <c r="A412" s="230"/>
      <c r="B412" s="255"/>
      <c r="C412" s="212" t="s">
        <v>709</v>
      </c>
      <c r="D412" s="294">
        <v>9600</v>
      </c>
      <c r="E412" s="294">
        <v>10500</v>
      </c>
      <c r="F412" s="241">
        <f>E412-D412</f>
        <v>900</v>
      </c>
      <c r="G412" s="235">
        <f>F412*100/D412</f>
        <v>9.375</v>
      </c>
      <c r="H412" s="340" t="s">
        <v>710</v>
      </c>
      <c r="I412" s="341">
        <v>100000</v>
      </c>
      <c r="J412" s="341" t="s">
        <v>834</v>
      </c>
      <c r="K412" s="309">
        <f>SUM(I412*8*12)</f>
        <v>9600000</v>
      </c>
    </row>
    <row r="413" spans="1:11" ht="15.75" customHeight="1">
      <c r="A413" s="230"/>
      <c r="B413" s="231"/>
      <c r="C413" s="238"/>
      <c r="D413" s="239"/>
      <c r="E413" s="120"/>
      <c r="F413" s="252"/>
      <c r="G413" s="253"/>
      <c r="H413" s="194" t="s">
        <v>710</v>
      </c>
      <c r="I413" s="119">
        <v>100000</v>
      </c>
      <c r="J413" s="119" t="s">
        <v>835</v>
      </c>
      <c r="K413" s="278">
        <f>SUM(I413*1*9)</f>
        <v>900000</v>
      </c>
    </row>
    <row r="414" spans="1:11" ht="15.75" customHeight="1">
      <c r="A414" s="230"/>
      <c r="B414" s="231"/>
      <c r="C414" s="209" t="s">
        <v>711</v>
      </c>
      <c r="D414" s="185">
        <v>10649</v>
      </c>
      <c r="E414" s="185">
        <v>9501</v>
      </c>
      <c r="F414" s="241">
        <f t="shared" si="14"/>
        <v>-1148</v>
      </c>
      <c r="G414" s="235">
        <f>F414*100/D414</f>
        <v>-10.780354962907316</v>
      </c>
      <c r="H414" s="330" t="s">
        <v>927</v>
      </c>
      <c r="I414" s="193"/>
      <c r="J414" s="193"/>
      <c r="K414" s="132">
        <v>9501000</v>
      </c>
    </row>
    <row r="415" spans="1:11" ht="15.75" customHeight="1">
      <c r="A415" s="230"/>
      <c r="B415" s="231"/>
      <c r="C415" s="209" t="s">
        <v>712</v>
      </c>
      <c r="D415" s="120">
        <v>2330</v>
      </c>
      <c r="E415" s="185">
        <v>2674</v>
      </c>
      <c r="F415" s="241">
        <f t="shared" si="14"/>
        <v>344</v>
      </c>
      <c r="G415" s="235">
        <f>F415*100/D415</f>
        <v>14.763948497854077</v>
      </c>
      <c r="H415" s="336" t="s">
        <v>926</v>
      </c>
      <c r="I415" s="193"/>
      <c r="J415" s="193"/>
      <c r="K415" s="132">
        <v>2674000</v>
      </c>
    </row>
    <row r="416" spans="1:11" ht="15.75" customHeight="1">
      <c r="A416" s="230"/>
      <c r="B416" s="231"/>
      <c r="C416" s="209" t="s">
        <v>713</v>
      </c>
      <c r="D416" s="185">
        <v>632</v>
      </c>
      <c r="E416" s="185">
        <v>1903</v>
      </c>
      <c r="F416" s="241">
        <f>E416-D416</f>
        <v>1271</v>
      </c>
      <c r="G416" s="235">
        <f>F416*100/D416</f>
        <v>201.10759493670886</v>
      </c>
      <c r="H416" s="242" t="s">
        <v>714</v>
      </c>
      <c r="I416" s="193"/>
      <c r="J416" s="193"/>
      <c r="K416" s="132">
        <v>1903000</v>
      </c>
    </row>
    <row r="417" spans="1:11" ht="15.75" customHeight="1" thickBot="1">
      <c r="A417" s="429"/>
      <c r="B417" s="244"/>
      <c r="C417" s="214" t="s">
        <v>715</v>
      </c>
      <c r="D417" s="533">
        <v>40000</v>
      </c>
      <c r="E417" s="351">
        <v>40000</v>
      </c>
      <c r="F417" s="317">
        <f t="shared" si="14"/>
        <v>0</v>
      </c>
      <c r="G417" s="303">
        <f>F417*100/D417</f>
        <v>0</v>
      </c>
      <c r="H417" s="325" t="s">
        <v>716</v>
      </c>
      <c r="I417" s="261"/>
      <c r="J417" s="261"/>
      <c r="K417" s="262">
        <v>40000000</v>
      </c>
    </row>
    <row r="418" spans="1:11" ht="16.5" customHeight="1">
      <c r="A418" s="584" t="s">
        <v>682</v>
      </c>
      <c r="B418" s="574" t="s">
        <v>683</v>
      </c>
      <c r="C418" s="574" t="s">
        <v>684</v>
      </c>
      <c r="D418" s="574" t="s">
        <v>1076</v>
      </c>
      <c r="E418" s="574" t="s">
        <v>1077</v>
      </c>
      <c r="F418" s="577" t="s">
        <v>685</v>
      </c>
      <c r="G418" s="552"/>
      <c r="H418" s="578" t="s">
        <v>686</v>
      </c>
      <c r="I418" s="579"/>
      <c r="J418" s="579"/>
      <c r="K418" s="580"/>
    </row>
    <row r="419" spans="1:11" ht="19.5" customHeight="1" thickBot="1">
      <c r="A419" s="585"/>
      <c r="B419" s="575"/>
      <c r="C419" s="575"/>
      <c r="D419" s="575"/>
      <c r="E419" s="575"/>
      <c r="F419" s="244" t="s">
        <v>687</v>
      </c>
      <c r="G419" s="344" t="s">
        <v>688</v>
      </c>
      <c r="H419" s="581"/>
      <c r="I419" s="582"/>
      <c r="J419" s="582"/>
      <c r="K419" s="583"/>
    </row>
    <row r="420" spans="1:11" ht="21.75" customHeight="1">
      <c r="A420" s="248" t="s">
        <v>700</v>
      </c>
      <c r="B420" s="216" t="s">
        <v>717</v>
      </c>
      <c r="C420" s="231" t="s">
        <v>693</v>
      </c>
      <c r="D420" s="120">
        <f>SUM(D421:D430)</f>
        <v>92822</v>
      </c>
      <c r="E420" s="120">
        <f>SUM(E421:E430)</f>
        <v>97262</v>
      </c>
      <c r="F420" s="349">
        <f aca="true" t="shared" si="16" ref="F420:F425">E420-D420</f>
        <v>4440</v>
      </c>
      <c r="G420" s="253">
        <f aca="true" t="shared" si="17" ref="G420:G425">F420*100/D420</f>
        <v>4.783348775074875</v>
      </c>
      <c r="H420" s="342" t="s">
        <v>718</v>
      </c>
      <c r="I420" s="281"/>
      <c r="J420" s="281"/>
      <c r="K420" s="125">
        <f>SUM(K421:K430)</f>
        <v>97262000</v>
      </c>
    </row>
    <row r="421" spans="1:11" ht="18" customHeight="1">
      <c r="A421" s="248" t="s">
        <v>702</v>
      </c>
      <c r="B421" s="231"/>
      <c r="C421" s="209" t="s">
        <v>719</v>
      </c>
      <c r="D421" s="275">
        <v>20076</v>
      </c>
      <c r="E421" s="185">
        <v>20976</v>
      </c>
      <c r="F421" s="295">
        <f t="shared" si="16"/>
        <v>900</v>
      </c>
      <c r="G421" s="235">
        <f t="shared" si="17"/>
        <v>4.482964734010759</v>
      </c>
      <c r="H421" s="242" t="s">
        <v>720</v>
      </c>
      <c r="I421" s="375"/>
      <c r="J421" s="193"/>
      <c r="K421" s="132">
        <v>20976000</v>
      </c>
    </row>
    <row r="422" spans="1:11" ht="18" customHeight="1">
      <c r="A422" s="230"/>
      <c r="B422" s="231"/>
      <c r="C422" s="209" t="s">
        <v>721</v>
      </c>
      <c r="D422" s="275">
        <v>18500</v>
      </c>
      <c r="E422" s="185">
        <v>19200</v>
      </c>
      <c r="F422" s="295">
        <f t="shared" si="16"/>
        <v>700</v>
      </c>
      <c r="G422" s="235">
        <f t="shared" si="17"/>
        <v>3.7837837837837838</v>
      </c>
      <c r="H422" s="242" t="s">
        <v>720</v>
      </c>
      <c r="I422" s="375"/>
      <c r="J422" s="193"/>
      <c r="K422" s="132">
        <v>19200000</v>
      </c>
    </row>
    <row r="423" spans="1:11" ht="18" customHeight="1">
      <c r="A423" s="230"/>
      <c r="B423" s="231"/>
      <c r="C423" s="209" t="s">
        <v>722</v>
      </c>
      <c r="D423" s="185">
        <v>13646</v>
      </c>
      <c r="E423" s="185">
        <v>16486</v>
      </c>
      <c r="F423" s="295">
        <f t="shared" si="16"/>
        <v>2840</v>
      </c>
      <c r="G423" s="235">
        <f t="shared" si="17"/>
        <v>20.811959548585666</v>
      </c>
      <c r="H423" s="242" t="s">
        <v>720</v>
      </c>
      <c r="I423" s="375"/>
      <c r="J423" s="193"/>
      <c r="K423" s="132">
        <v>16486000</v>
      </c>
    </row>
    <row r="424" spans="1:11" ht="18" customHeight="1">
      <c r="A424" s="230"/>
      <c r="B424" s="231"/>
      <c r="C424" s="209" t="s">
        <v>723</v>
      </c>
      <c r="D424" s="275">
        <v>600</v>
      </c>
      <c r="E424" s="185">
        <v>600</v>
      </c>
      <c r="F424" s="295">
        <f t="shared" si="16"/>
        <v>0</v>
      </c>
      <c r="G424" s="235">
        <f t="shared" si="17"/>
        <v>0</v>
      </c>
      <c r="H424" s="242" t="s">
        <v>724</v>
      </c>
      <c r="I424" s="375"/>
      <c r="J424" s="193"/>
      <c r="K424" s="132">
        <v>600000</v>
      </c>
    </row>
    <row r="425" spans="1:11" ht="18" customHeight="1">
      <c r="A425" s="230"/>
      <c r="B425" s="231"/>
      <c r="C425" s="209" t="s">
        <v>725</v>
      </c>
      <c r="D425" s="275">
        <v>25000</v>
      </c>
      <c r="E425" s="185">
        <v>25000</v>
      </c>
      <c r="F425" s="295">
        <f t="shared" si="16"/>
        <v>0</v>
      </c>
      <c r="G425" s="235">
        <f t="shared" si="17"/>
        <v>0</v>
      </c>
      <c r="H425" s="242" t="s">
        <v>726</v>
      </c>
      <c r="I425" s="375"/>
      <c r="J425" s="193"/>
      <c r="K425" s="132">
        <v>25000000</v>
      </c>
    </row>
    <row r="426" spans="1:11" ht="18" customHeight="1">
      <c r="A426" s="230"/>
      <c r="B426" s="231"/>
      <c r="C426" s="209" t="s">
        <v>727</v>
      </c>
      <c r="D426" s="185">
        <v>0</v>
      </c>
      <c r="E426" s="185">
        <v>0</v>
      </c>
      <c r="F426" s="295">
        <f aca="true" t="shared" si="18" ref="F426:F432">E426-D426</f>
        <v>0</v>
      </c>
      <c r="G426" s="235">
        <v>0</v>
      </c>
      <c r="H426" s="242"/>
      <c r="I426" s="375"/>
      <c r="J426" s="193"/>
      <c r="K426" s="132">
        <v>0</v>
      </c>
    </row>
    <row r="427" spans="1:11" ht="18" customHeight="1">
      <c r="A427" s="230"/>
      <c r="B427" s="231"/>
      <c r="C427" s="209" t="s">
        <v>728</v>
      </c>
      <c r="D427" s="185">
        <v>0</v>
      </c>
      <c r="E427" s="185">
        <v>0</v>
      </c>
      <c r="F427" s="295">
        <f t="shared" si="18"/>
        <v>0</v>
      </c>
      <c r="G427" s="235">
        <v>0</v>
      </c>
      <c r="H427" s="242"/>
      <c r="I427" s="375"/>
      <c r="J427" s="193"/>
      <c r="K427" s="132">
        <v>0</v>
      </c>
    </row>
    <row r="428" spans="1:11" ht="18" customHeight="1">
      <c r="A428" s="230"/>
      <c r="B428" s="231"/>
      <c r="C428" s="209" t="s">
        <v>729</v>
      </c>
      <c r="D428" s="185">
        <v>0</v>
      </c>
      <c r="E428" s="185">
        <v>0</v>
      </c>
      <c r="F428" s="295">
        <f t="shared" si="18"/>
        <v>0</v>
      </c>
      <c r="G428" s="235">
        <v>0</v>
      </c>
      <c r="H428" s="242"/>
      <c r="I428" s="375"/>
      <c r="J428" s="193"/>
      <c r="K428" s="132">
        <v>0</v>
      </c>
    </row>
    <row r="429" spans="1:11" ht="18" customHeight="1">
      <c r="A429" s="230"/>
      <c r="B429" s="231"/>
      <c r="C429" s="209" t="s">
        <v>730</v>
      </c>
      <c r="D429" s="275">
        <v>4000</v>
      </c>
      <c r="E429" s="185">
        <v>4000</v>
      </c>
      <c r="F429" s="295">
        <f t="shared" si="18"/>
        <v>0</v>
      </c>
      <c r="G429" s="227">
        <f>F429*100/D429</f>
        <v>0</v>
      </c>
      <c r="H429" s="242" t="s">
        <v>731</v>
      </c>
      <c r="I429" s="375"/>
      <c r="J429" s="193"/>
      <c r="K429" s="132">
        <v>4000000</v>
      </c>
    </row>
    <row r="430" spans="1:11" ht="18" customHeight="1">
      <c r="A430" s="374"/>
      <c r="B430" s="276"/>
      <c r="C430" s="209" t="s">
        <v>925</v>
      </c>
      <c r="D430" s="185">
        <v>11000</v>
      </c>
      <c r="E430" s="185">
        <v>11000</v>
      </c>
      <c r="F430" s="284">
        <f t="shared" si="18"/>
        <v>0</v>
      </c>
      <c r="G430" s="227">
        <v>0</v>
      </c>
      <c r="H430" s="330" t="s">
        <v>754</v>
      </c>
      <c r="I430" s="375"/>
      <c r="J430" s="193"/>
      <c r="K430" s="132">
        <v>11000000</v>
      </c>
    </row>
    <row r="431" spans="1:11" ht="20.25" customHeight="1">
      <c r="A431" s="248" t="s">
        <v>700</v>
      </c>
      <c r="B431" s="216" t="s">
        <v>732</v>
      </c>
      <c r="C431" s="231" t="s">
        <v>693</v>
      </c>
      <c r="D431" s="120">
        <f>SUM(D432)</f>
        <v>40000</v>
      </c>
      <c r="E431" s="120">
        <f>SUM(E432)</f>
        <v>45000</v>
      </c>
      <c r="F431" s="349">
        <f t="shared" si="18"/>
        <v>5000</v>
      </c>
      <c r="G431" s="253">
        <f>F431*100/D431</f>
        <v>12.5</v>
      </c>
      <c r="H431" s="342" t="s">
        <v>733</v>
      </c>
      <c r="I431" s="281"/>
      <c r="J431" s="281"/>
      <c r="K431" s="125">
        <f>SUM(K432:K433)</f>
        <v>45000000</v>
      </c>
    </row>
    <row r="432" spans="1:11" ht="18" customHeight="1">
      <c r="A432" s="230" t="s">
        <v>734</v>
      </c>
      <c r="B432" s="231"/>
      <c r="C432" s="212" t="s">
        <v>735</v>
      </c>
      <c r="D432" s="294">
        <v>40000</v>
      </c>
      <c r="E432" s="294">
        <v>45000</v>
      </c>
      <c r="F432" s="241">
        <f t="shared" si="18"/>
        <v>5000</v>
      </c>
      <c r="G432" s="235">
        <f>F432*100/D432</f>
        <v>12.5</v>
      </c>
      <c r="H432" s="385" t="s">
        <v>941</v>
      </c>
      <c r="I432" s="341"/>
      <c r="J432" s="341"/>
      <c r="K432" s="309">
        <v>43800000</v>
      </c>
    </row>
    <row r="433" spans="1:11" ht="18" customHeight="1">
      <c r="A433" s="230"/>
      <c r="B433" s="231"/>
      <c r="C433" s="208"/>
      <c r="D433" s="236"/>
      <c r="E433" s="267"/>
      <c r="F433" s="252"/>
      <c r="G433" s="253"/>
      <c r="H433" s="331" t="s">
        <v>942</v>
      </c>
      <c r="I433" s="119"/>
      <c r="J433" s="119"/>
      <c r="K433" s="125">
        <v>1200000</v>
      </c>
    </row>
    <row r="434" spans="1:11" ht="18" customHeight="1">
      <c r="A434" s="376" t="s">
        <v>736</v>
      </c>
      <c r="B434" s="576" t="s">
        <v>690</v>
      </c>
      <c r="C434" s="520"/>
      <c r="D434" s="185">
        <f>SUM(D435)</f>
        <v>0</v>
      </c>
      <c r="E434" s="185">
        <f>SUM(E435)</f>
        <v>0</v>
      </c>
      <c r="F434" s="284">
        <f>E434-D434</f>
        <v>0</v>
      </c>
      <c r="G434" s="227">
        <v>0</v>
      </c>
      <c r="H434" s="343"/>
      <c r="I434" s="350"/>
      <c r="J434" s="350"/>
      <c r="K434" s="132">
        <f>SUM(K435)</f>
        <v>0</v>
      </c>
    </row>
    <row r="435" spans="1:11" ht="18" customHeight="1">
      <c r="A435" s="230"/>
      <c r="B435" s="377" t="s">
        <v>737</v>
      </c>
      <c r="C435" s="289" t="s">
        <v>738</v>
      </c>
      <c r="D435" s="185">
        <v>0</v>
      </c>
      <c r="E435" s="185">
        <v>0</v>
      </c>
      <c r="F435" s="284">
        <f>E435-D435</f>
        <v>0</v>
      </c>
      <c r="G435" s="227">
        <v>0</v>
      </c>
      <c r="H435" s="343"/>
      <c r="I435" s="229"/>
      <c r="J435" s="229"/>
      <c r="K435" s="132">
        <v>0</v>
      </c>
    </row>
    <row r="436" spans="1:11" ht="18" customHeight="1">
      <c r="A436" s="376" t="s">
        <v>739</v>
      </c>
      <c r="B436" s="576" t="s">
        <v>690</v>
      </c>
      <c r="C436" s="520"/>
      <c r="D436" s="185">
        <f>SUM(D437)</f>
        <v>20000</v>
      </c>
      <c r="E436" s="185">
        <f>SUM(E437)</f>
        <v>20000</v>
      </c>
      <c r="F436" s="284">
        <f aca="true" t="shared" si="19" ref="F436:F442">E436-D436</f>
        <v>0</v>
      </c>
      <c r="G436" s="227">
        <f>F436*100/D436</f>
        <v>0</v>
      </c>
      <c r="H436" s="343"/>
      <c r="I436" s="350"/>
      <c r="J436" s="350"/>
      <c r="K436" s="132">
        <v>20000000</v>
      </c>
    </row>
    <row r="437" spans="1:11" ht="18" customHeight="1">
      <c r="A437" s="230"/>
      <c r="B437" s="377" t="s">
        <v>740</v>
      </c>
      <c r="C437" s="387" t="s">
        <v>757</v>
      </c>
      <c r="D437" s="185">
        <v>20000</v>
      </c>
      <c r="E437" s="185">
        <v>20000</v>
      </c>
      <c r="F437" s="284">
        <f t="shared" si="19"/>
        <v>0</v>
      </c>
      <c r="G437" s="227">
        <f aca="true" t="shared" si="20" ref="G437:G446">F437*100/D437</f>
        <v>0</v>
      </c>
      <c r="H437" s="194" t="s">
        <v>1093</v>
      </c>
      <c r="I437" s="229"/>
      <c r="J437" s="229"/>
      <c r="K437" s="132">
        <v>20000000</v>
      </c>
    </row>
    <row r="438" spans="1:11" ht="18" customHeight="1">
      <c r="A438" s="376" t="s">
        <v>741</v>
      </c>
      <c r="B438" s="519" t="s">
        <v>690</v>
      </c>
      <c r="C438" s="520"/>
      <c r="D438" s="185">
        <f>SUM(D440:D442)</f>
        <v>2000</v>
      </c>
      <c r="E438" s="185">
        <f>SUM(E440:E442)</f>
        <v>1265</v>
      </c>
      <c r="F438" s="284">
        <f t="shared" si="19"/>
        <v>-735</v>
      </c>
      <c r="G438" s="227">
        <f t="shared" si="20"/>
        <v>-36.75</v>
      </c>
      <c r="H438" s="343" t="s">
        <v>742</v>
      </c>
      <c r="I438" s="350"/>
      <c r="J438" s="350"/>
      <c r="K438" s="132">
        <f>SUM(K440:K442)</f>
        <v>1264811</v>
      </c>
    </row>
    <row r="439" spans="1:11" ht="18" customHeight="1">
      <c r="A439" s="268"/>
      <c r="B439" s="345" t="s">
        <v>743</v>
      </c>
      <c r="C439" s="290" t="s">
        <v>693</v>
      </c>
      <c r="D439" s="185">
        <f>SUM(D440:D442)</f>
        <v>2000</v>
      </c>
      <c r="E439" s="185">
        <f>SUM(E440:E442)</f>
        <v>1265</v>
      </c>
      <c r="F439" s="284">
        <f t="shared" si="19"/>
        <v>-735</v>
      </c>
      <c r="G439" s="227">
        <f t="shared" si="20"/>
        <v>-36.75</v>
      </c>
      <c r="H439" s="342"/>
      <c r="I439" s="229"/>
      <c r="J439" s="222"/>
      <c r="K439" s="132">
        <f>SUM(K440:K442)</f>
        <v>1264811</v>
      </c>
    </row>
    <row r="440" spans="1:11" ht="18" customHeight="1">
      <c r="A440" s="268"/>
      <c r="B440" s="266"/>
      <c r="C440" s="355" t="s">
        <v>744</v>
      </c>
      <c r="D440" s="185">
        <v>2000</v>
      </c>
      <c r="E440" s="185">
        <v>1265</v>
      </c>
      <c r="F440" s="284">
        <f t="shared" si="19"/>
        <v>-735</v>
      </c>
      <c r="G440" s="227">
        <f t="shared" si="20"/>
        <v>-36.75</v>
      </c>
      <c r="H440" s="417" t="s">
        <v>744</v>
      </c>
      <c r="I440" s="229"/>
      <c r="J440" s="229"/>
      <c r="K440" s="309">
        <v>1195811</v>
      </c>
    </row>
    <row r="441" spans="1:11" ht="18" customHeight="1">
      <c r="A441" s="268"/>
      <c r="B441" s="266"/>
      <c r="C441" s="355" t="s">
        <v>745</v>
      </c>
      <c r="D441" s="185">
        <v>0</v>
      </c>
      <c r="E441" s="185">
        <v>0</v>
      </c>
      <c r="F441" s="284">
        <f>E441-D441</f>
        <v>0</v>
      </c>
      <c r="G441" s="227">
        <v>0</v>
      </c>
      <c r="H441" s="380" t="s">
        <v>836</v>
      </c>
      <c r="I441" s="281"/>
      <c r="J441" s="281"/>
      <c r="K441" s="254">
        <v>69000</v>
      </c>
    </row>
    <row r="442" spans="1:11" ht="18" customHeight="1">
      <c r="A442" s="268"/>
      <c r="B442" s="266"/>
      <c r="C442" s="355" t="s">
        <v>746</v>
      </c>
      <c r="D442" s="185">
        <v>0</v>
      </c>
      <c r="E442" s="185">
        <v>0</v>
      </c>
      <c r="F442" s="284">
        <f t="shared" si="19"/>
        <v>0</v>
      </c>
      <c r="G442" s="227">
        <v>0</v>
      </c>
      <c r="H442" s="342"/>
      <c r="I442" s="222"/>
      <c r="J442" s="222"/>
      <c r="K442" s="125">
        <v>0</v>
      </c>
    </row>
    <row r="443" spans="1:11" ht="18" customHeight="1">
      <c r="A443" s="376" t="s">
        <v>747</v>
      </c>
      <c r="B443" s="519" t="s">
        <v>690</v>
      </c>
      <c r="C443" s="520"/>
      <c r="D443" s="185">
        <f>SUM(D445:D447)</f>
        <v>1140</v>
      </c>
      <c r="E443" s="185">
        <f>SUM(E445:E447)</f>
        <v>1016</v>
      </c>
      <c r="F443" s="284">
        <f>E443-D443</f>
        <v>-124</v>
      </c>
      <c r="G443" s="227">
        <f t="shared" si="20"/>
        <v>-10.87719298245614</v>
      </c>
      <c r="H443" s="343" t="s">
        <v>748</v>
      </c>
      <c r="I443" s="350"/>
      <c r="J443" s="350"/>
      <c r="K443" s="132">
        <f>SUM(K445:K447)</f>
        <v>1016000</v>
      </c>
    </row>
    <row r="444" spans="1:11" ht="18" customHeight="1">
      <c r="A444" s="268"/>
      <c r="B444" s="345" t="s">
        <v>749</v>
      </c>
      <c r="C444" s="290" t="s">
        <v>693</v>
      </c>
      <c r="D444" s="185">
        <f>SUM(D445:D447)</f>
        <v>1140</v>
      </c>
      <c r="E444" s="185">
        <f>SUM(E445:E447)</f>
        <v>1016</v>
      </c>
      <c r="F444" s="284">
        <f>E444-D444</f>
        <v>-124</v>
      </c>
      <c r="G444" s="227">
        <f t="shared" si="20"/>
        <v>-10.87719298245614</v>
      </c>
      <c r="H444" s="343"/>
      <c r="I444" s="229"/>
      <c r="J444" s="222"/>
      <c r="K444" s="132">
        <f>SUM(K445:K447)</f>
        <v>1016000</v>
      </c>
    </row>
    <row r="445" spans="1:11" ht="18" customHeight="1">
      <c r="A445" s="268"/>
      <c r="B445" s="266"/>
      <c r="C445" s="355" t="s">
        <v>750</v>
      </c>
      <c r="D445" s="185">
        <v>140</v>
      </c>
      <c r="E445" s="185">
        <v>16</v>
      </c>
      <c r="F445" s="284">
        <f>E445-D445</f>
        <v>-124</v>
      </c>
      <c r="G445" s="227">
        <f t="shared" si="20"/>
        <v>-88.57142857142857</v>
      </c>
      <c r="H445" s="343" t="s">
        <v>751</v>
      </c>
      <c r="I445" s="229"/>
      <c r="J445" s="281"/>
      <c r="K445" s="132">
        <v>16000</v>
      </c>
    </row>
    <row r="446" spans="1:11" ht="18" customHeight="1" thickBot="1">
      <c r="A446" s="270"/>
      <c r="B446" s="344"/>
      <c r="C446" s="354" t="s">
        <v>752</v>
      </c>
      <c r="D446" s="351">
        <v>1000</v>
      </c>
      <c r="E446" s="351">
        <v>1000</v>
      </c>
      <c r="F446" s="352">
        <f>E446-D446</f>
        <v>0</v>
      </c>
      <c r="G446" s="303">
        <f t="shared" si="20"/>
        <v>0</v>
      </c>
      <c r="H446" s="378" t="s">
        <v>753</v>
      </c>
      <c r="I446" s="353"/>
      <c r="J446" s="353"/>
      <c r="K446" s="262">
        <v>1000000</v>
      </c>
    </row>
  </sheetData>
  <mergeCells count="119">
    <mergeCell ref="A313:A314"/>
    <mergeCell ref="B313:B314"/>
    <mergeCell ref="C313:C314"/>
    <mergeCell ref="E284:E285"/>
    <mergeCell ref="D313:D314"/>
    <mergeCell ref="E313:E314"/>
    <mergeCell ref="B307:C307"/>
    <mergeCell ref="F284:F285"/>
    <mergeCell ref="G284:G285"/>
    <mergeCell ref="H313:K314"/>
    <mergeCell ref="H281:K282"/>
    <mergeCell ref="F313:G313"/>
    <mergeCell ref="B283:C283"/>
    <mergeCell ref="A281:A282"/>
    <mergeCell ref="B281:B282"/>
    <mergeCell ref="C281:C282"/>
    <mergeCell ref="D281:D282"/>
    <mergeCell ref="F281:G281"/>
    <mergeCell ref="F226:G226"/>
    <mergeCell ref="H226:K227"/>
    <mergeCell ref="D246:D247"/>
    <mergeCell ref="E246:E247"/>
    <mergeCell ref="F246:G246"/>
    <mergeCell ref="H246:K247"/>
    <mergeCell ref="B228:C228"/>
    <mergeCell ref="A246:A247"/>
    <mergeCell ref="B246:B247"/>
    <mergeCell ref="C246:C247"/>
    <mergeCell ref="A226:A227"/>
    <mergeCell ref="B226:B227"/>
    <mergeCell ref="C226:C227"/>
    <mergeCell ref="D226:D227"/>
    <mergeCell ref="F185:G185"/>
    <mergeCell ref="H185:K186"/>
    <mergeCell ref="B199:C199"/>
    <mergeCell ref="B203:C203"/>
    <mergeCell ref="B7:C7"/>
    <mergeCell ref="A6:C6"/>
    <mergeCell ref="A5:C5"/>
    <mergeCell ref="A185:A186"/>
    <mergeCell ref="B185:B186"/>
    <mergeCell ref="C185:C186"/>
    <mergeCell ref="A80:A81"/>
    <mergeCell ref="B80:B81"/>
    <mergeCell ref="C80:C81"/>
    <mergeCell ref="A150:A151"/>
    <mergeCell ref="A113:A114"/>
    <mergeCell ref="B113:B114"/>
    <mergeCell ref="C113:C114"/>
    <mergeCell ref="D113:D114"/>
    <mergeCell ref="E46:E47"/>
    <mergeCell ref="F46:G46"/>
    <mergeCell ref="H46:K47"/>
    <mergeCell ref="E80:E81"/>
    <mergeCell ref="F80:G80"/>
    <mergeCell ref="H80:K81"/>
    <mergeCell ref="A46:A47"/>
    <mergeCell ref="B46:B47"/>
    <mergeCell ref="C46:C47"/>
    <mergeCell ref="D46:D47"/>
    <mergeCell ref="A1:K1"/>
    <mergeCell ref="H3:K4"/>
    <mergeCell ref="E3:E4"/>
    <mergeCell ref="F3:G3"/>
    <mergeCell ref="A2:K2"/>
    <mergeCell ref="A3:A4"/>
    <mergeCell ref="B3:B4"/>
    <mergeCell ref="C3:C4"/>
    <mergeCell ref="D3:D4"/>
    <mergeCell ref="D80:D81"/>
    <mergeCell ref="E150:E151"/>
    <mergeCell ref="F150:G150"/>
    <mergeCell ref="H150:K151"/>
    <mergeCell ref="E113:E114"/>
    <mergeCell ref="F113:G113"/>
    <mergeCell ref="H113:K114"/>
    <mergeCell ref="B150:B151"/>
    <mergeCell ref="C150:C151"/>
    <mergeCell ref="D150:D151"/>
    <mergeCell ref="E353:E354"/>
    <mergeCell ref="D185:D186"/>
    <mergeCell ref="E185:E186"/>
    <mergeCell ref="E226:E227"/>
    <mergeCell ref="B248:C248"/>
    <mergeCell ref="E281:E282"/>
    <mergeCell ref="D284:D285"/>
    <mergeCell ref="A353:A354"/>
    <mergeCell ref="B353:B354"/>
    <mergeCell ref="C353:C354"/>
    <mergeCell ref="D353:D354"/>
    <mergeCell ref="H353:K354"/>
    <mergeCell ref="B364:C364"/>
    <mergeCell ref="B366:C366"/>
    <mergeCell ref="B368:C368"/>
    <mergeCell ref="F353:G353"/>
    <mergeCell ref="A385:K385"/>
    <mergeCell ref="A386:K386"/>
    <mergeCell ref="A387:A388"/>
    <mergeCell ref="B387:B388"/>
    <mergeCell ref="C387:C388"/>
    <mergeCell ref="D387:D388"/>
    <mergeCell ref="E387:E388"/>
    <mergeCell ref="F387:G387"/>
    <mergeCell ref="H387:K388"/>
    <mergeCell ref="A418:A419"/>
    <mergeCell ref="B434:C434"/>
    <mergeCell ref="A389:C389"/>
    <mergeCell ref="A390:C390"/>
    <mergeCell ref="B391:C391"/>
    <mergeCell ref="B407:C407"/>
    <mergeCell ref="E418:E419"/>
    <mergeCell ref="D418:D419"/>
    <mergeCell ref="F418:G418"/>
    <mergeCell ref="H418:K419"/>
    <mergeCell ref="B443:C443"/>
    <mergeCell ref="C418:C419"/>
    <mergeCell ref="B418:B419"/>
    <mergeCell ref="B436:C436"/>
    <mergeCell ref="B438:C438"/>
  </mergeCells>
  <printOptions/>
  <pageMargins left="0.15748031496062992" right="0.15748031496062992" top="0.3937007874015748" bottom="0.1968503937007874" header="0" footer="0"/>
  <pageSetup horizontalDpi="600" verticalDpi="600" orientation="landscape" paperSize="9" r:id="rId1"/>
  <ignoredErrors>
    <ignoredError sqref="K193 K197 K201 K144 K155 K165 K167 K175 K65 K308:K309 K12 K15 K22 K2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105"/>
  <sheetViews>
    <sheetView zoomScale="75" zoomScaleNormal="75" workbookViewId="0" topLeftCell="A1">
      <selection activeCell="A86" sqref="A86"/>
    </sheetView>
  </sheetViews>
  <sheetFormatPr defaultColWidth="8.88671875" defaultRowHeight="13.5"/>
  <cols>
    <col min="2" max="2" width="14.88671875" style="0" customWidth="1"/>
    <col min="3" max="3" width="15.4453125" style="0" customWidth="1"/>
    <col min="4" max="5" width="9.99609375" style="0" bestFit="1" customWidth="1"/>
    <col min="6" max="6" width="8.10546875" style="0" customWidth="1"/>
    <col min="7" max="7" width="7.88671875" style="0" customWidth="1"/>
    <col min="8" max="8" width="13.99609375" style="0" customWidth="1"/>
    <col min="9" max="9" width="13.10546875" style="0" customWidth="1"/>
    <col min="10" max="10" width="9.6640625" style="0" customWidth="1"/>
    <col min="11" max="11" width="12.6640625" style="0" customWidth="1"/>
  </cols>
  <sheetData>
    <row r="1" spans="1:11" ht="18" customHeight="1">
      <c r="A1" s="590" t="s">
        <v>282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</row>
    <row r="2" spans="1:11" ht="14.25" thickBot="1">
      <c r="A2" s="612" t="s">
        <v>41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</row>
    <row r="3" spans="1:11" ht="12.75" customHeight="1">
      <c r="A3" s="584" t="s">
        <v>5</v>
      </c>
      <c r="B3" s="574" t="s">
        <v>6</v>
      </c>
      <c r="C3" s="574" t="s">
        <v>7</v>
      </c>
      <c r="D3" s="574" t="s">
        <v>1080</v>
      </c>
      <c r="E3" s="574" t="s">
        <v>1081</v>
      </c>
      <c r="F3" s="577" t="s">
        <v>42</v>
      </c>
      <c r="G3" s="552"/>
      <c r="H3" s="578" t="s">
        <v>43</v>
      </c>
      <c r="I3" s="598"/>
      <c r="J3" s="598"/>
      <c r="K3" s="599"/>
    </row>
    <row r="4" spans="1:11" ht="12.75" customHeight="1" thickBot="1">
      <c r="A4" s="585"/>
      <c r="B4" s="575"/>
      <c r="C4" s="575"/>
      <c r="D4" s="575"/>
      <c r="E4" s="575"/>
      <c r="F4" s="244" t="s">
        <v>9</v>
      </c>
      <c r="G4" s="344" t="s">
        <v>44</v>
      </c>
      <c r="H4" s="600"/>
      <c r="I4" s="601"/>
      <c r="J4" s="601"/>
      <c r="K4" s="602"/>
    </row>
    <row r="5" spans="1:11" ht="12.75" customHeight="1">
      <c r="A5" s="586" t="s">
        <v>1089</v>
      </c>
      <c r="B5" s="560"/>
      <c r="C5" s="609"/>
      <c r="D5" s="184">
        <f>SUM(D6+D55+D59+D80)</f>
        <v>105086</v>
      </c>
      <c r="E5" s="184">
        <f>SUM(E6+E55+E59+E80)</f>
        <v>108807</v>
      </c>
      <c r="F5" s="523">
        <f>E5-D5</f>
        <v>3721</v>
      </c>
      <c r="G5" s="264">
        <f>F5*100/D5</f>
        <v>3.540909350436785</v>
      </c>
      <c r="H5" s="265"/>
      <c r="I5" s="283"/>
      <c r="J5" s="283"/>
      <c r="K5" s="524">
        <f>SUM(K6+K55+K59+K80)</f>
        <v>108806296.36666667</v>
      </c>
    </row>
    <row r="6" spans="1:11" ht="12.75" customHeight="1">
      <c r="A6" s="268" t="s">
        <v>45</v>
      </c>
      <c r="B6" s="607" t="s">
        <v>11</v>
      </c>
      <c r="C6" s="594"/>
      <c r="D6" s="120">
        <f>SUM(D7+D44)</f>
        <v>58770</v>
      </c>
      <c r="E6" s="120">
        <f>SUM(E7+E44)</f>
        <v>62609</v>
      </c>
      <c r="F6" s="219">
        <f>E6-D6</f>
        <v>3839</v>
      </c>
      <c r="G6" s="220">
        <f>F6*100/D6</f>
        <v>6.5322443423515395</v>
      </c>
      <c r="H6" s="342" t="s">
        <v>603</v>
      </c>
      <c r="I6" s="222"/>
      <c r="J6" s="222"/>
      <c r="K6" s="125">
        <f>SUM(K7+K44)</f>
        <v>62608296.36666667</v>
      </c>
    </row>
    <row r="7" spans="1:11" ht="12.75" customHeight="1">
      <c r="A7" s="230"/>
      <c r="B7" s="201" t="s">
        <v>604</v>
      </c>
      <c r="C7" s="224" t="s">
        <v>13</v>
      </c>
      <c r="D7" s="185">
        <f>SUM(D8+D12+D19+D32+D33+D38+D41)</f>
        <v>55288</v>
      </c>
      <c r="E7" s="185">
        <f>SUM(E8+E12+E19+E32+E33+E38+E41)</f>
        <v>59127</v>
      </c>
      <c r="F7" s="284">
        <f>E7-D7</f>
        <v>3839</v>
      </c>
      <c r="G7" s="227">
        <f>F7*100/D7</f>
        <v>6.943640572999566</v>
      </c>
      <c r="H7" s="343" t="s">
        <v>218</v>
      </c>
      <c r="I7" s="229"/>
      <c r="J7" s="229"/>
      <c r="K7" s="132">
        <f>SUM(K8+K12+K15+K19+K32+K33+K38+K41)</f>
        <v>59126296.36666667</v>
      </c>
    </row>
    <row r="8" spans="1:11" ht="12" customHeight="1">
      <c r="A8" s="230"/>
      <c r="B8" s="231"/>
      <c r="C8" s="212" t="s">
        <v>69</v>
      </c>
      <c r="D8" s="233">
        <v>22110</v>
      </c>
      <c r="E8" s="233">
        <v>23920</v>
      </c>
      <c r="F8" s="234">
        <f>E8-D8</f>
        <v>1810</v>
      </c>
      <c r="G8" s="235">
        <f>F8*100/D8</f>
        <v>8.186341022161917</v>
      </c>
      <c r="H8" s="242" t="s">
        <v>46</v>
      </c>
      <c r="I8" s="193"/>
      <c r="J8" s="193"/>
      <c r="K8" s="132">
        <f>SUM(K9:K11)</f>
        <v>23920000</v>
      </c>
    </row>
    <row r="9" spans="1:11" ht="12.75" customHeight="1">
      <c r="A9" s="230"/>
      <c r="B9" s="231"/>
      <c r="C9" s="208"/>
      <c r="D9" s="236"/>
      <c r="E9" s="236"/>
      <c r="F9" s="236"/>
      <c r="G9" s="236"/>
      <c r="H9" s="340" t="s">
        <v>605</v>
      </c>
      <c r="I9" s="341">
        <v>1155000</v>
      </c>
      <c r="J9" s="341" t="s">
        <v>53</v>
      </c>
      <c r="K9" s="309">
        <f>SUM(I9*12)</f>
        <v>13860000</v>
      </c>
    </row>
    <row r="10" spans="1:11" ht="12.75" customHeight="1">
      <c r="A10" s="230"/>
      <c r="B10" s="231"/>
      <c r="C10" s="208"/>
      <c r="D10" s="236"/>
      <c r="E10" s="236"/>
      <c r="F10" s="236"/>
      <c r="G10" s="236"/>
      <c r="H10" s="333" t="s">
        <v>606</v>
      </c>
      <c r="I10" s="249">
        <v>680000</v>
      </c>
      <c r="J10" s="249" t="s">
        <v>512</v>
      </c>
      <c r="K10" s="254">
        <f>SUM(I10*2)</f>
        <v>1360000</v>
      </c>
    </row>
    <row r="11" spans="1:11" ht="12.75" customHeight="1">
      <c r="A11" s="230"/>
      <c r="B11" s="231"/>
      <c r="C11" s="238"/>
      <c r="D11" s="239"/>
      <c r="E11" s="236"/>
      <c r="F11" s="236"/>
      <c r="G11" s="236"/>
      <c r="H11" s="333" t="s">
        <v>786</v>
      </c>
      <c r="I11" s="249">
        <v>870000</v>
      </c>
      <c r="J11" s="249" t="s">
        <v>98</v>
      </c>
      <c r="K11" s="254">
        <f>SUM(I11*10)</f>
        <v>8700000</v>
      </c>
    </row>
    <row r="12" spans="1:11" ht="12" customHeight="1">
      <c r="A12" s="230"/>
      <c r="B12" s="231"/>
      <c r="C12" s="208" t="s">
        <v>61</v>
      </c>
      <c r="D12" s="294">
        <v>10540</v>
      </c>
      <c r="E12" s="294">
        <v>11514</v>
      </c>
      <c r="F12" s="295">
        <f>E12-D12</f>
        <v>974</v>
      </c>
      <c r="G12" s="235">
        <f>F12*100/D12</f>
        <v>9.240986717267551</v>
      </c>
      <c r="H12" s="242" t="s">
        <v>47</v>
      </c>
      <c r="I12" s="193"/>
      <c r="J12" s="193"/>
      <c r="K12" s="132">
        <f>SUM(K13+K14)</f>
        <v>8100000</v>
      </c>
    </row>
    <row r="13" spans="1:11" ht="12.75" customHeight="1">
      <c r="A13" s="230"/>
      <c r="B13" s="231"/>
      <c r="C13" s="208"/>
      <c r="D13" s="236"/>
      <c r="E13" s="236"/>
      <c r="F13" s="204"/>
      <c r="G13" s="204"/>
      <c r="H13" s="340" t="s">
        <v>605</v>
      </c>
      <c r="I13" s="341">
        <v>1155000</v>
      </c>
      <c r="J13" s="341" t="s">
        <v>49</v>
      </c>
      <c r="K13" s="309">
        <f>SUM(I13*400%)</f>
        <v>4620000</v>
      </c>
    </row>
    <row r="14" spans="1:11" ht="12.75" customHeight="1">
      <c r="A14" s="230"/>
      <c r="B14" s="231"/>
      <c r="C14" s="208"/>
      <c r="D14" s="236"/>
      <c r="E14" s="236"/>
      <c r="F14" s="204"/>
      <c r="G14" s="204"/>
      <c r="H14" s="333" t="s">
        <v>785</v>
      </c>
      <c r="I14" s="249">
        <v>870000</v>
      </c>
      <c r="J14" s="249" t="s">
        <v>49</v>
      </c>
      <c r="K14" s="254">
        <f>SUM(I14*400%)</f>
        <v>3480000</v>
      </c>
    </row>
    <row r="15" spans="1:11" ht="12.75" customHeight="1">
      <c r="A15" s="230"/>
      <c r="B15" s="231"/>
      <c r="C15" s="208"/>
      <c r="D15" s="236"/>
      <c r="E15" s="236"/>
      <c r="F15" s="204"/>
      <c r="G15" s="204"/>
      <c r="H15" s="242" t="s">
        <v>496</v>
      </c>
      <c r="I15" s="193"/>
      <c r="J15" s="193"/>
      <c r="K15" s="132">
        <f>SUM(K16:K18)</f>
        <v>3414000</v>
      </c>
    </row>
    <row r="16" spans="1:11" ht="12.75" customHeight="1">
      <c r="A16" s="230"/>
      <c r="B16" s="231"/>
      <c r="C16" s="208"/>
      <c r="D16" s="236"/>
      <c r="E16" s="236"/>
      <c r="F16" s="204"/>
      <c r="G16" s="204"/>
      <c r="H16" s="340" t="s">
        <v>605</v>
      </c>
      <c r="I16" s="341">
        <v>1155000</v>
      </c>
      <c r="J16" s="341" t="s">
        <v>50</v>
      </c>
      <c r="K16" s="309">
        <f>SUM(I16*100%*2)</f>
        <v>2310000</v>
      </c>
    </row>
    <row r="17" spans="1:11" ht="12.75" customHeight="1">
      <c r="A17" s="230"/>
      <c r="B17" s="231"/>
      <c r="C17" s="208"/>
      <c r="D17" s="236"/>
      <c r="E17" s="236"/>
      <c r="F17" s="204"/>
      <c r="G17" s="204"/>
      <c r="H17" s="333" t="s">
        <v>787</v>
      </c>
      <c r="I17" s="249">
        <v>680000</v>
      </c>
      <c r="J17" s="249" t="s">
        <v>788</v>
      </c>
      <c r="K17" s="254">
        <f>SUM(I17*60%)</f>
        <v>408000</v>
      </c>
    </row>
    <row r="18" spans="1:11" ht="12.75" customHeight="1">
      <c r="A18" s="230"/>
      <c r="B18" s="231"/>
      <c r="C18" s="238"/>
      <c r="D18" s="239"/>
      <c r="E18" s="239"/>
      <c r="F18" s="251"/>
      <c r="G18" s="251"/>
      <c r="H18" s="194" t="s">
        <v>786</v>
      </c>
      <c r="I18" s="119">
        <v>870000</v>
      </c>
      <c r="J18" s="119" t="s">
        <v>794</v>
      </c>
      <c r="K18" s="125">
        <f>SUM(I18*80%*1)</f>
        <v>696000</v>
      </c>
    </row>
    <row r="19" spans="1:11" ht="10.5" customHeight="1">
      <c r="A19" s="248"/>
      <c r="B19" s="216"/>
      <c r="C19" s="208" t="s">
        <v>62</v>
      </c>
      <c r="D19" s="233">
        <v>9826</v>
      </c>
      <c r="E19" s="233">
        <v>11119</v>
      </c>
      <c r="F19" s="252">
        <f>E19-D19</f>
        <v>1293</v>
      </c>
      <c r="G19" s="253">
        <f>F19*100/D19</f>
        <v>13.158966008548749</v>
      </c>
      <c r="H19" s="194" t="s">
        <v>51</v>
      </c>
      <c r="I19" s="119"/>
      <c r="J19" s="249"/>
      <c r="K19" s="125">
        <f>SUM(K20:K31)</f>
        <v>11119000</v>
      </c>
    </row>
    <row r="20" spans="1:11" ht="12.75" customHeight="1">
      <c r="A20" s="230"/>
      <c r="B20" s="231"/>
      <c r="C20" s="208"/>
      <c r="D20" s="236"/>
      <c r="E20" s="236"/>
      <c r="F20" s="236"/>
      <c r="G20" s="236"/>
      <c r="H20" s="340" t="s">
        <v>497</v>
      </c>
      <c r="I20" s="341">
        <v>23920000</v>
      </c>
      <c r="J20" s="341" t="s">
        <v>52</v>
      </c>
      <c r="K20" s="309">
        <f>SUM(I20*20%)</f>
        <v>4784000</v>
      </c>
    </row>
    <row r="21" spans="1:11" ht="12.75" customHeight="1">
      <c r="A21" s="230"/>
      <c r="B21" s="231"/>
      <c r="C21" s="208"/>
      <c r="D21" s="236"/>
      <c r="E21" s="236"/>
      <c r="F21" s="236"/>
      <c r="G21" s="236"/>
      <c r="H21" s="333" t="s">
        <v>498</v>
      </c>
      <c r="I21" s="249">
        <v>20000</v>
      </c>
      <c r="J21" s="249" t="s">
        <v>607</v>
      </c>
      <c r="K21" s="254">
        <f>SUM(I21*12*2)</f>
        <v>480000</v>
      </c>
    </row>
    <row r="22" spans="1:11" ht="12.75" customHeight="1">
      <c r="A22" s="230"/>
      <c r="B22" s="231"/>
      <c r="C22" s="208"/>
      <c r="D22" s="236"/>
      <c r="E22" s="236"/>
      <c r="F22" s="236"/>
      <c r="G22" s="236"/>
      <c r="H22" s="333" t="s">
        <v>499</v>
      </c>
      <c r="I22" s="249">
        <v>1835000</v>
      </c>
      <c r="J22" s="249" t="s">
        <v>789</v>
      </c>
      <c r="K22" s="254">
        <f>SUM(I22*50%*1)</f>
        <v>917500</v>
      </c>
    </row>
    <row r="23" spans="1:11" ht="12.75" customHeight="1">
      <c r="A23" s="230"/>
      <c r="B23" s="231"/>
      <c r="C23" s="208"/>
      <c r="D23" s="236"/>
      <c r="E23" s="236"/>
      <c r="F23" s="236"/>
      <c r="G23" s="236"/>
      <c r="H23" s="333" t="s">
        <v>499</v>
      </c>
      <c r="I23" s="249">
        <v>2025000</v>
      </c>
      <c r="J23" s="249" t="s">
        <v>789</v>
      </c>
      <c r="K23" s="254">
        <f>SUM(I23*50%*1)</f>
        <v>1012500</v>
      </c>
    </row>
    <row r="24" spans="1:11" ht="12.75" customHeight="1">
      <c r="A24" s="230"/>
      <c r="B24" s="231"/>
      <c r="C24" s="208"/>
      <c r="D24" s="236"/>
      <c r="E24" s="236"/>
      <c r="F24" s="236"/>
      <c r="G24" s="236"/>
      <c r="H24" s="333" t="s">
        <v>500</v>
      </c>
      <c r="I24" s="249">
        <v>1835000</v>
      </c>
      <c r="J24" s="249" t="s">
        <v>790</v>
      </c>
      <c r="K24" s="254">
        <f>SUM(I24*25%*1)</f>
        <v>458750</v>
      </c>
    </row>
    <row r="25" spans="1:11" ht="12.75" customHeight="1">
      <c r="A25" s="230"/>
      <c r="B25" s="231"/>
      <c r="C25" s="208"/>
      <c r="D25" s="236"/>
      <c r="E25" s="236"/>
      <c r="F25" s="236"/>
      <c r="G25" s="236"/>
      <c r="H25" s="333" t="s">
        <v>500</v>
      </c>
      <c r="I25" s="249">
        <v>2025000</v>
      </c>
      <c r="J25" s="249" t="s">
        <v>790</v>
      </c>
      <c r="K25" s="254">
        <f>SUM(I25*25%*1)</f>
        <v>506250</v>
      </c>
    </row>
    <row r="26" spans="1:11" ht="12.75" customHeight="1">
      <c r="A26" s="230"/>
      <c r="B26" s="231"/>
      <c r="C26" s="208"/>
      <c r="D26" s="236"/>
      <c r="E26" s="236"/>
      <c r="F26" s="236"/>
      <c r="G26" s="236"/>
      <c r="H26" s="333" t="s">
        <v>56</v>
      </c>
      <c r="I26" s="249">
        <v>15000</v>
      </c>
      <c r="J26" s="249" t="s">
        <v>791</v>
      </c>
      <c r="K26" s="254">
        <f>SUM(I26*2*2)</f>
        <v>60000</v>
      </c>
    </row>
    <row r="27" spans="1:11" ht="12.75" customHeight="1">
      <c r="A27" s="230"/>
      <c r="B27" s="231"/>
      <c r="C27" s="208"/>
      <c r="D27" s="236"/>
      <c r="E27" s="236"/>
      <c r="F27" s="236"/>
      <c r="G27" s="236"/>
      <c r="H27" s="333" t="s">
        <v>56</v>
      </c>
      <c r="I27" s="249">
        <v>15000</v>
      </c>
      <c r="J27" s="249" t="s">
        <v>792</v>
      </c>
      <c r="K27" s="254">
        <f>SUM(I27*2*10)</f>
        <v>300000</v>
      </c>
    </row>
    <row r="28" spans="1:11" ht="12.75" customHeight="1">
      <c r="A28" s="230"/>
      <c r="B28" s="231"/>
      <c r="C28" s="208"/>
      <c r="D28" s="236"/>
      <c r="E28" s="236"/>
      <c r="F28" s="236"/>
      <c r="G28" s="236"/>
      <c r="H28" s="333" t="s">
        <v>57</v>
      </c>
      <c r="I28" s="249">
        <v>100000</v>
      </c>
      <c r="J28" s="249" t="s">
        <v>60</v>
      </c>
      <c r="K28" s="254">
        <f>SUM(I28*1*12)</f>
        <v>1200000</v>
      </c>
    </row>
    <row r="29" spans="1:11" ht="12.75" customHeight="1">
      <c r="A29" s="230"/>
      <c r="B29" s="231"/>
      <c r="C29" s="208"/>
      <c r="D29" s="236"/>
      <c r="E29" s="236"/>
      <c r="F29" s="204"/>
      <c r="G29" s="204"/>
      <c r="H29" s="333" t="s">
        <v>57</v>
      </c>
      <c r="I29" s="249">
        <v>50000</v>
      </c>
      <c r="J29" s="249" t="s">
        <v>793</v>
      </c>
      <c r="K29" s="254">
        <f>SUM(I29*1*10)</f>
        <v>500000</v>
      </c>
    </row>
    <row r="30" spans="1:11" ht="12.75" customHeight="1">
      <c r="A30" s="230"/>
      <c r="B30" s="231"/>
      <c r="C30" s="311"/>
      <c r="D30" s="236"/>
      <c r="E30" s="236"/>
      <c r="F30" s="204"/>
      <c r="G30" s="204"/>
      <c r="H30" s="333" t="s">
        <v>501</v>
      </c>
      <c r="I30" s="249">
        <v>50000</v>
      </c>
      <c r="J30" s="249" t="s">
        <v>60</v>
      </c>
      <c r="K30" s="254">
        <f>SUM(I30*1*12)</f>
        <v>600000</v>
      </c>
    </row>
    <row r="31" spans="1:11" ht="12.75" customHeight="1">
      <c r="A31" s="230"/>
      <c r="B31" s="231"/>
      <c r="C31" s="250"/>
      <c r="D31" s="239"/>
      <c r="E31" s="239"/>
      <c r="F31" s="251"/>
      <c r="G31" s="251"/>
      <c r="H31" s="194" t="s">
        <v>501</v>
      </c>
      <c r="I31" s="119">
        <v>30000</v>
      </c>
      <c r="J31" s="119" t="s">
        <v>793</v>
      </c>
      <c r="K31" s="125">
        <f>SUM(I31*1*10)</f>
        <v>300000</v>
      </c>
    </row>
    <row r="32" spans="1:11" ht="12.75" customHeight="1">
      <c r="A32" s="230"/>
      <c r="B32" s="231"/>
      <c r="C32" s="209" t="s">
        <v>608</v>
      </c>
      <c r="D32" s="275">
        <v>3900</v>
      </c>
      <c r="E32" s="275">
        <v>4240</v>
      </c>
      <c r="F32" s="226">
        <f>E32-D32</f>
        <v>340</v>
      </c>
      <c r="G32" s="227">
        <f>F32*100/D32</f>
        <v>8.717948717948717</v>
      </c>
      <c r="H32" s="333" t="s">
        <v>65</v>
      </c>
      <c r="I32" s="249">
        <f>SUM(K8+K12+K15+K19+K39+K40+K41)</f>
        <v>50873000</v>
      </c>
      <c r="J32" s="249" t="s">
        <v>63</v>
      </c>
      <c r="K32" s="254">
        <f>SUM(I32*1/12)</f>
        <v>4239416.666666667</v>
      </c>
    </row>
    <row r="33" spans="1:11" ht="12" customHeight="1">
      <c r="A33" s="230"/>
      <c r="B33" s="231"/>
      <c r="C33" s="208" t="s">
        <v>72</v>
      </c>
      <c r="D33" s="236">
        <v>4592</v>
      </c>
      <c r="E33" s="236">
        <v>4014</v>
      </c>
      <c r="F33" s="252">
        <f>E33-D33</f>
        <v>-578</v>
      </c>
      <c r="G33" s="253">
        <f>F33*100/D33</f>
        <v>-12.587108013937282</v>
      </c>
      <c r="H33" s="242" t="s">
        <v>66</v>
      </c>
      <c r="I33" s="193"/>
      <c r="J33" s="193"/>
      <c r="K33" s="132">
        <f>SUM(K34+K35+K36+K37)</f>
        <v>4013879.7</v>
      </c>
    </row>
    <row r="34" spans="1:11" ht="12.75" customHeight="1">
      <c r="A34" s="230"/>
      <c r="B34" s="231"/>
      <c r="C34" s="208"/>
      <c r="D34" s="236"/>
      <c r="E34" s="236"/>
      <c r="F34" s="204"/>
      <c r="G34" s="204"/>
      <c r="H34" s="340" t="s">
        <v>64</v>
      </c>
      <c r="I34" s="341">
        <f>SUM(K8+K12+K15+K19+K39+K40+K41)</f>
        <v>50873000</v>
      </c>
      <c r="J34" s="341" t="s">
        <v>777</v>
      </c>
      <c r="K34" s="309">
        <f>SUM(I34*2.24%)</f>
        <v>1139555.2000000002</v>
      </c>
    </row>
    <row r="35" spans="1:11" ht="12.75" customHeight="1">
      <c r="A35" s="230"/>
      <c r="B35" s="231"/>
      <c r="C35" s="208"/>
      <c r="D35" s="236"/>
      <c r="E35" s="236"/>
      <c r="F35" s="204"/>
      <c r="G35" s="204"/>
      <c r="H35" s="333" t="s">
        <v>502</v>
      </c>
      <c r="I35" s="249">
        <f>SUM(K8+K12+K15+K19+K39+K40+K41)</f>
        <v>50873000</v>
      </c>
      <c r="J35" s="249" t="s">
        <v>224</v>
      </c>
      <c r="K35" s="254">
        <f>SUM(I35*4.5%)</f>
        <v>2289285</v>
      </c>
    </row>
    <row r="36" spans="1:11" ht="12.75" customHeight="1">
      <c r="A36" s="230"/>
      <c r="B36" s="231"/>
      <c r="C36" s="208"/>
      <c r="D36" s="236"/>
      <c r="E36" s="236"/>
      <c r="F36" s="204"/>
      <c r="G36" s="204"/>
      <c r="H36" s="333" t="s">
        <v>503</v>
      </c>
      <c r="I36" s="249">
        <f>SUM(K8+K12+K15+K19+K39+K40+K41)</f>
        <v>50873000</v>
      </c>
      <c r="J36" s="249" t="s">
        <v>640</v>
      </c>
      <c r="K36" s="254">
        <f>SUM(I36*0.7%)</f>
        <v>356110.99999999994</v>
      </c>
    </row>
    <row r="37" spans="1:11" ht="12.75" customHeight="1">
      <c r="A37" s="230"/>
      <c r="B37" s="231"/>
      <c r="C37" s="238"/>
      <c r="D37" s="239"/>
      <c r="E37" s="239"/>
      <c r="F37" s="251"/>
      <c r="G37" s="251"/>
      <c r="H37" s="194" t="s">
        <v>220</v>
      </c>
      <c r="I37" s="119">
        <f>SUM(K8+K12+K15+K19+K39+K40+K41)</f>
        <v>50873000</v>
      </c>
      <c r="J37" s="119" t="s">
        <v>781</v>
      </c>
      <c r="K37" s="254">
        <f>SUM(I37*0.45%)</f>
        <v>228928.50000000003</v>
      </c>
    </row>
    <row r="38" spans="1:11" ht="12.75" customHeight="1">
      <c r="A38" s="230"/>
      <c r="B38" s="231"/>
      <c r="C38" s="208" t="s">
        <v>73</v>
      </c>
      <c r="D38" s="236">
        <v>1920</v>
      </c>
      <c r="E38" s="236">
        <v>1920</v>
      </c>
      <c r="F38" s="252">
        <f>E38-D38</f>
        <v>0</v>
      </c>
      <c r="G38" s="253">
        <f>F38*100/D38</f>
        <v>0</v>
      </c>
      <c r="H38" s="242" t="s">
        <v>504</v>
      </c>
      <c r="I38" s="193"/>
      <c r="J38" s="193"/>
      <c r="K38" s="132">
        <f>SUM(K39+K40)</f>
        <v>1920000</v>
      </c>
    </row>
    <row r="39" spans="1:11" ht="12" customHeight="1">
      <c r="A39" s="230"/>
      <c r="B39" s="231"/>
      <c r="C39" s="208"/>
      <c r="D39" s="236"/>
      <c r="E39" s="236"/>
      <c r="F39" s="204"/>
      <c r="G39" s="204"/>
      <c r="H39" s="340" t="s">
        <v>505</v>
      </c>
      <c r="I39" s="341">
        <v>50000</v>
      </c>
      <c r="J39" s="341" t="s">
        <v>59</v>
      </c>
      <c r="K39" s="309">
        <f>SUM(I39*2*12)</f>
        <v>1200000</v>
      </c>
    </row>
    <row r="40" spans="1:11" ht="12" customHeight="1">
      <c r="A40" s="230"/>
      <c r="B40" s="231"/>
      <c r="C40" s="238"/>
      <c r="D40" s="239"/>
      <c r="E40" s="239"/>
      <c r="F40" s="251"/>
      <c r="G40" s="251"/>
      <c r="H40" s="194" t="s">
        <v>506</v>
      </c>
      <c r="I40" s="119">
        <v>30000</v>
      </c>
      <c r="J40" s="119" t="s">
        <v>59</v>
      </c>
      <c r="K40" s="125">
        <f>SUM(I40*2*12)</f>
        <v>720000</v>
      </c>
    </row>
    <row r="41" spans="1:11" ht="12.75" customHeight="1" thickBot="1">
      <c r="A41" s="243"/>
      <c r="B41" s="244"/>
      <c r="C41" s="211" t="s">
        <v>74</v>
      </c>
      <c r="D41" s="245">
        <v>2400</v>
      </c>
      <c r="E41" s="245">
        <v>2400</v>
      </c>
      <c r="F41" s="258">
        <f>E41-D41</f>
        <v>0</v>
      </c>
      <c r="G41" s="259">
        <f>F41*100/D41</f>
        <v>0</v>
      </c>
      <c r="H41" s="282" t="s">
        <v>67</v>
      </c>
      <c r="I41" s="260">
        <v>100000</v>
      </c>
      <c r="J41" s="260" t="s">
        <v>59</v>
      </c>
      <c r="K41" s="272">
        <f>SUM(I41*2*12)</f>
        <v>2400000</v>
      </c>
    </row>
    <row r="42" spans="1:11" ht="18" customHeight="1">
      <c r="A42" s="584" t="s">
        <v>5</v>
      </c>
      <c r="B42" s="610" t="s">
        <v>6</v>
      </c>
      <c r="C42" s="574" t="s">
        <v>7</v>
      </c>
      <c r="D42" s="574" t="s">
        <v>1080</v>
      </c>
      <c r="E42" s="574" t="s">
        <v>1081</v>
      </c>
      <c r="F42" s="577" t="s">
        <v>42</v>
      </c>
      <c r="G42" s="552"/>
      <c r="H42" s="578" t="s">
        <v>43</v>
      </c>
      <c r="I42" s="579"/>
      <c r="J42" s="579"/>
      <c r="K42" s="580"/>
    </row>
    <row r="43" spans="1:11" ht="18" customHeight="1" thickBot="1">
      <c r="A43" s="585"/>
      <c r="B43" s="611"/>
      <c r="C43" s="575"/>
      <c r="D43" s="575"/>
      <c r="E43" s="575"/>
      <c r="F43" s="518" t="s">
        <v>9</v>
      </c>
      <c r="G43" s="344" t="s">
        <v>44</v>
      </c>
      <c r="H43" s="581"/>
      <c r="I43" s="582"/>
      <c r="J43" s="582"/>
      <c r="K43" s="583"/>
    </row>
    <row r="44" spans="1:11" ht="17.25" customHeight="1">
      <c r="A44" s="268" t="s">
        <v>45</v>
      </c>
      <c r="B44" s="320" t="s">
        <v>609</v>
      </c>
      <c r="C44" s="276" t="s">
        <v>13</v>
      </c>
      <c r="D44" s="279">
        <f>SUM(D45+D46+D47+D51+D54)</f>
        <v>3482</v>
      </c>
      <c r="E44" s="279">
        <f>SUM(E45+E46+E47+E51+E54)</f>
        <v>3482</v>
      </c>
      <c r="F44" s="280">
        <f>E44-D44</f>
        <v>0</v>
      </c>
      <c r="G44" s="220">
        <f>F44*100/D44</f>
        <v>0</v>
      </c>
      <c r="H44" s="240"/>
      <c r="I44" s="281"/>
      <c r="J44" s="281"/>
      <c r="K44" s="254">
        <f>SUM(K45+K46+K47+K51+K54)</f>
        <v>3482000</v>
      </c>
    </row>
    <row r="45" spans="1:11" ht="13.5" customHeight="1">
      <c r="A45" s="268"/>
      <c r="B45" s="266"/>
      <c r="C45" s="209" t="s">
        <v>17</v>
      </c>
      <c r="D45" s="275">
        <v>200</v>
      </c>
      <c r="E45" s="275">
        <v>200</v>
      </c>
      <c r="F45" s="226">
        <f>E45-D45</f>
        <v>0</v>
      </c>
      <c r="G45" s="227">
        <v>0</v>
      </c>
      <c r="H45" s="333" t="s">
        <v>95</v>
      </c>
      <c r="I45" s="249">
        <v>20000</v>
      </c>
      <c r="J45" s="249" t="s">
        <v>98</v>
      </c>
      <c r="K45" s="254">
        <f>SUM(I45*10)</f>
        <v>200000</v>
      </c>
    </row>
    <row r="46" spans="1:11" ht="13.5" customHeight="1">
      <c r="A46" s="268"/>
      <c r="B46" s="266"/>
      <c r="C46" s="209" t="s">
        <v>26</v>
      </c>
      <c r="D46" s="275">
        <v>702</v>
      </c>
      <c r="E46" s="275">
        <v>702</v>
      </c>
      <c r="F46" s="226">
        <f>E46-D46</f>
        <v>0</v>
      </c>
      <c r="G46" s="235">
        <f>F46*100/D46</f>
        <v>0</v>
      </c>
      <c r="H46" s="381" t="s">
        <v>1083</v>
      </c>
      <c r="I46" s="249">
        <v>70200</v>
      </c>
      <c r="J46" s="249" t="s">
        <v>98</v>
      </c>
      <c r="K46" s="254">
        <f>SUM(I46*10)</f>
        <v>702000</v>
      </c>
    </row>
    <row r="47" spans="1:11" ht="12" customHeight="1">
      <c r="A47" s="268"/>
      <c r="B47" s="266"/>
      <c r="C47" s="208" t="s">
        <v>21</v>
      </c>
      <c r="D47" s="240">
        <v>580</v>
      </c>
      <c r="E47" s="240">
        <v>580</v>
      </c>
      <c r="F47" s="252">
        <f>E47-D47</f>
        <v>0</v>
      </c>
      <c r="G47" s="235">
        <f>F47*100/D47</f>
        <v>0</v>
      </c>
      <c r="H47" s="333" t="s">
        <v>108</v>
      </c>
      <c r="I47" s="249"/>
      <c r="J47" s="249"/>
      <c r="K47" s="254">
        <f>SUM(K48+K49+K50)</f>
        <v>580000</v>
      </c>
    </row>
    <row r="48" spans="1:11" ht="12" customHeight="1">
      <c r="A48" s="268"/>
      <c r="B48" s="266"/>
      <c r="C48" s="208"/>
      <c r="D48" s="236"/>
      <c r="E48" s="236"/>
      <c r="F48" s="204"/>
      <c r="G48" s="204"/>
      <c r="H48" s="333" t="s">
        <v>610</v>
      </c>
      <c r="I48" s="249">
        <v>200000</v>
      </c>
      <c r="J48" s="249" t="s">
        <v>611</v>
      </c>
      <c r="K48" s="254">
        <f>SUM(I48*2)</f>
        <v>400000</v>
      </c>
    </row>
    <row r="49" spans="1:11" ht="12" customHeight="1">
      <c r="A49" s="268"/>
      <c r="B49" s="266"/>
      <c r="C49" s="208"/>
      <c r="D49" s="236"/>
      <c r="E49" s="236"/>
      <c r="F49" s="204"/>
      <c r="G49" s="204"/>
      <c r="H49" s="333" t="s">
        <v>520</v>
      </c>
      <c r="I49" s="249">
        <v>100000</v>
      </c>
      <c r="J49" s="249" t="s">
        <v>109</v>
      </c>
      <c r="K49" s="254">
        <f>SUM(I49*1)</f>
        <v>100000</v>
      </c>
    </row>
    <row r="50" spans="1:11" ht="12" customHeight="1">
      <c r="A50" s="268"/>
      <c r="B50" s="266"/>
      <c r="C50" s="238"/>
      <c r="D50" s="239"/>
      <c r="E50" s="239"/>
      <c r="F50" s="204"/>
      <c r="G50" s="204"/>
      <c r="H50" s="180" t="s">
        <v>756</v>
      </c>
      <c r="I50" s="119">
        <v>40000</v>
      </c>
      <c r="J50" s="119" t="s">
        <v>127</v>
      </c>
      <c r="K50" s="125">
        <f>SUM(I50*2)</f>
        <v>80000</v>
      </c>
    </row>
    <row r="51" spans="1:11" ht="12.75" customHeight="1">
      <c r="A51" s="268"/>
      <c r="B51" s="266"/>
      <c r="C51" s="208" t="s">
        <v>277</v>
      </c>
      <c r="D51" s="240">
        <v>1600</v>
      </c>
      <c r="E51" s="240">
        <v>1600</v>
      </c>
      <c r="F51" s="241">
        <f>E51-D51</f>
        <v>0</v>
      </c>
      <c r="G51" s="235">
        <f>F51*100/D51</f>
        <v>0</v>
      </c>
      <c r="H51" s="333" t="s">
        <v>612</v>
      </c>
      <c r="I51" s="249"/>
      <c r="J51" s="249"/>
      <c r="K51" s="254">
        <f>SUM(K52+K53)</f>
        <v>1600000</v>
      </c>
    </row>
    <row r="52" spans="1:11" ht="12" customHeight="1">
      <c r="A52" s="268"/>
      <c r="B52" s="266"/>
      <c r="C52" s="208"/>
      <c r="D52" s="236"/>
      <c r="E52" s="236"/>
      <c r="F52" s="204"/>
      <c r="G52" s="204"/>
      <c r="H52" s="333" t="s">
        <v>257</v>
      </c>
      <c r="I52" s="249">
        <v>100000</v>
      </c>
      <c r="J52" s="249" t="s">
        <v>53</v>
      </c>
      <c r="K52" s="254">
        <f>SUM(I52*12)</f>
        <v>1200000</v>
      </c>
    </row>
    <row r="53" spans="1:11" ht="12" customHeight="1">
      <c r="A53" s="268"/>
      <c r="B53" s="266"/>
      <c r="C53" s="238"/>
      <c r="D53" s="239"/>
      <c r="E53" s="239"/>
      <c r="F53" s="251"/>
      <c r="G53" s="251"/>
      <c r="H53" s="333" t="s">
        <v>258</v>
      </c>
      <c r="I53" s="249">
        <v>100000</v>
      </c>
      <c r="J53" s="249" t="s">
        <v>101</v>
      </c>
      <c r="K53" s="254">
        <f>SUM(I53*4)</f>
        <v>400000</v>
      </c>
    </row>
    <row r="54" spans="1:11" ht="12" customHeight="1">
      <c r="A54" s="217"/>
      <c r="B54" s="392"/>
      <c r="C54" s="238" t="s">
        <v>515</v>
      </c>
      <c r="D54" s="275">
        <v>400</v>
      </c>
      <c r="E54" s="275">
        <v>400</v>
      </c>
      <c r="F54" s="226">
        <f>E54-D54</f>
        <v>0</v>
      </c>
      <c r="G54" s="227">
        <f>F54*100/D54</f>
        <v>0</v>
      </c>
      <c r="H54" s="180" t="s">
        <v>1084</v>
      </c>
      <c r="I54" s="119">
        <v>100000</v>
      </c>
      <c r="J54" s="119" t="s">
        <v>101</v>
      </c>
      <c r="K54" s="125">
        <f>SUM(I54*4)</f>
        <v>400000</v>
      </c>
    </row>
    <row r="55" spans="1:11" ht="13.5" customHeight="1">
      <c r="A55" s="268" t="s">
        <v>523</v>
      </c>
      <c r="B55" s="320" t="s">
        <v>27</v>
      </c>
      <c r="C55" s="276" t="s">
        <v>13</v>
      </c>
      <c r="D55" s="279">
        <f>SUM(D56+D57+D58)</f>
        <v>0</v>
      </c>
      <c r="E55" s="279">
        <f>SUM(E56+E57+E58)</f>
        <v>0</v>
      </c>
      <c r="F55" s="280">
        <f aca="true" t="shared" si="0" ref="F55:F78">E55-D55</f>
        <v>0</v>
      </c>
      <c r="G55" s="220">
        <v>0</v>
      </c>
      <c r="H55" s="380"/>
      <c r="I55" s="281"/>
      <c r="J55" s="281"/>
      <c r="K55" s="254"/>
    </row>
    <row r="56" spans="1:11" ht="12" customHeight="1">
      <c r="A56" s="268" t="s">
        <v>951</v>
      </c>
      <c r="B56" s="266"/>
      <c r="C56" s="209" t="s">
        <v>28</v>
      </c>
      <c r="D56" s="275">
        <v>0</v>
      </c>
      <c r="E56" s="275">
        <v>0</v>
      </c>
      <c r="F56" s="226">
        <f t="shared" si="0"/>
        <v>0</v>
      </c>
      <c r="G56" s="227">
        <v>0</v>
      </c>
      <c r="H56" s="333"/>
      <c r="I56" s="249"/>
      <c r="J56" s="249"/>
      <c r="K56" s="254"/>
    </row>
    <row r="57" spans="1:11" ht="12" customHeight="1">
      <c r="A57" s="268"/>
      <c r="B57" s="266"/>
      <c r="C57" s="209" t="s">
        <v>29</v>
      </c>
      <c r="D57" s="275">
        <v>0</v>
      </c>
      <c r="E57" s="275">
        <v>0</v>
      </c>
      <c r="F57" s="226">
        <f t="shared" si="0"/>
        <v>0</v>
      </c>
      <c r="G57" s="227">
        <v>0</v>
      </c>
      <c r="H57" s="333"/>
      <c r="I57" s="249"/>
      <c r="J57" s="249"/>
      <c r="K57" s="254"/>
    </row>
    <row r="58" spans="1:11" ht="12" customHeight="1">
      <c r="A58" s="217"/>
      <c r="B58" s="392"/>
      <c r="C58" s="238" t="s">
        <v>30</v>
      </c>
      <c r="D58" s="275">
        <v>0</v>
      </c>
      <c r="E58" s="239">
        <v>0</v>
      </c>
      <c r="F58" s="226">
        <f t="shared" si="0"/>
        <v>0</v>
      </c>
      <c r="G58" s="227">
        <v>0</v>
      </c>
      <c r="H58" s="194"/>
      <c r="I58" s="119"/>
      <c r="J58" s="119"/>
      <c r="K58" s="125"/>
    </row>
    <row r="59" spans="1:11" ht="13.5" customHeight="1">
      <c r="A59" s="268" t="s">
        <v>117</v>
      </c>
      <c r="B59" s="608" t="s">
        <v>11</v>
      </c>
      <c r="C59" s="594"/>
      <c r="D59" s="120">
        <f>SUM(D61:D79)</f>
        <v>46000</v>
      </c>
      <c r="E59" s="119">
        <f>SUM(E61:E79)</f>
        <v>46000</v>
      </c>
      <c r="F59" s="280">
        <f t="shared" si="0"/>
        <v>0</v>
      </c>
      <c r="G59" s="220">
        <f>F59*100/D59</f>
        <v>0</v>
      </c>
      <c r="H59" s="222"/>
      <c r="I59" s="222"/>
      <c r="J59" s="222"/>
      <c r="K59" s="125">
        <f>SUM(K61:K79)</f>
        <v>46000000</v>
      </c>
    </row>
    <row r="60" spans="1:11" ht="13.5" customHeight="1">
      <c r="A60" s="230"/>
      <c r="B60" s="345" t="s">
        <v>22</v>
      </c>
      <c r="C60" s="346" t="s">
        <v>13</v>
      </c>
      <c r="D60" s="120">
        <f>SUM(D61:D79)</f>
        <v>46000</v>
      </c>
      <c r="E60" s="119">
        <f>SUM(E61:E79)</f>
        <v>46000</v>
      </c>
      <c r="F60" s="226">
        <f t="shared" si="0"/>
        <v>0</v>
      </c>
      <c r="G60" s="227">
        <f>F60*100/D60</f>
        <v>0</v>
      </c>
      <c r="H60" s="242" t="s">
        <v>613</v>
      </c>
      <c r="I60" s="193"/>
      <c r="J60" s="193"/>
      <c r="K60" s="132">
        <f>SUM(K61:K79)</f>
        <v>46000000</v>
      </c>
    </row>
    <row r="61" spans="1:11" ht="12" customHeight="1">
      <c r="A61" s="230"/>
      <c r="B61" s="320"/>
      <c r="C61" s="311" t="s">
        <v>614</v>
      </c>
      <c r="D61" s="236">
        <v>0</v>
      </c>
      <c r="E61" s="232">
        <v>0</v>
      </c>
      <c r="F61" s="241">
        <v>0</v>
      </c>
      <c r="G61" s="235">
        <v>0</v>
      </c>
      <c r="H61" s="333" t="s">
        <v>615</v>
      </c>
      <c r="I61" s="249"/>
      <c r="J61" s="249"/>
      <c r="K61" s="254"/>
    </row>
    <row r="62" spans="1:11" ht="12" customHeight="1">
      <c r="A62" s="230"/>
      <c r="B62" s="320"/>
      <c r="C62" s="238"/>
      <c r="D62" s="239"/>
      <c r="E62" s="239"/>
      <c r="F62" s="280"/>
      <c r="G62" s="220"/>
      <c r="H62" s="194" t="s">
        <v>616</v>
      </c>
      <c r="I62" s="119"/>
      <c r="J62" s="119"/>
      <c r="K62" s="125"/>
    </row>
    <row r="63" spans="1:11" ht="12" customHeight="1">
      <c r="A63" s="230"/>
      <c r="B63" s="320"/>
      <c r="C63" s="209" t="s">
        <v>617</v>
      </c>
      <c r="D63" s="232">
        <v>440</v>
      </c>
      <c r="E63" s="275">
        <v>0</v>
      </c>
      <c r="F63" s="226">
        <f t="shared" si="0"/>
        <v>-440</v>
      </c>
      <c r="G63" s="227">
        <v>0</v>
      </c>
      <c r="H63" s="330" t="s">
        <v>1085</v>
      </c>
      <c r="I63" s="193"/>
      <c r="J63" s="193"/>
      <c r="K63" s="132"/>
    </row>
    <row r="64" spans="1:11" ht="12" customHeight="1">
      <c r="A64" s="230"/>
      <c r="B64" s="320"/>
      <c r="C64" s="213" t="s">
        <v>618</v>
      </c>
      <c r="D64" s="294">
        <v>1200</v>
      </c>
      <c r="E64" s="294">
        <v>1450</v>
      </c>
      <c r="F64" s="241">
        <f t="shared" si="0"/>
        <v>250</v>
      </c>
      <c r="G64" s="235">
        <f>F64*100/D64</f>
        <v>20.833333333333332</v>
      </c>
      <c r="H64" s="340" t="s">
        <v>619</v>
      </c>
      <c r="I64" s="341">
        <v>1350000</v>
      </c>
      <c r="J64" s="341" t="s">
        <v>109</v>
      </c>
      <c r="K64" s="309">
        <f>SUM(I64*1)</f>
        <v>1350000</v>
      </c>
    </row>
    <row r="65" spans="1:11" ht="12" customHeight="1">
      <c r="A65" s="230"/>
      <c r="B65" s="320"/>
      <c r="C65" s="311"/>
      <c r="D65" s="240"/>
      <c r="E65" s="267"/>
      <c r="F65" s="252"/>
      <c r="G65" s="253"/>
      <c r="H65" s="333" t="s">
        <v>943</v>
      </c>
      <c r="I65" s="249">
        <v>10000</v>
      </c>
      <c r="J65" s="249" t="s">
        <v>98</v>
      </c>
      <c r="K65" s="254">
        <f>SUM(I65*10)</f>
        <v>100000</v>
      </c>
    </row>
    <row r="66" spans="1:11" ht="12" customHeight="1">
      <c r="A66" s="230"/>
      <c r="B66" s="320"/>
      <c r="C66" s="238"/>
      <c r="D66" s="239"/>
      <c r="E66" s="239"/>
      <c r="F66" s="280"/>
      <c r="G66" s="220"/>
      <c r="H66" s="180" t="s">
        <v>944</v>
      </c>
      <c r="I66" s="119"/>
      <c r="J66" s="119"/>
      <c r="K66" s="125"/>
    </row>
    <row r="67" spans="1:11" ht="12" customHeight="1">
      <c r="A67" s="230"/>
      <c r="B67" s="320"/>
      <c r="C67" s="311" t="s">
        <v>945</v>
      </c>
      <c r="D67" s="240">
        <v>0</v>
      </c>
      <c r="E67" s="240">
        <v>220</v>
      </c>
      <c r="F67" s="226">
        <f>E67-D67</f>
        <v>220</v>
      </c>
      <c r="G67" s="227">
        <v>0</v>
      </c>
      <c r="H67" s="340" t="s">
        <v>946</v>
      </c>
      <c r="I67" s="341">
        <v>10000</v>
      </c>
      <c r="J67" s="341" t="s">
        <v>854</v>
      </c>
      <c r="K67" s="309">
        <f>SUM(I67*12)</f>
        <v>120000</v>
      </c>
    </row>
    <row r="68" spans="1:11" ht="12" customHeight="1">
      <c r="A68" s="230"/>
      <c r="B68" s="320"/>
      <c r="C68" s="311"/>
      <c r="D68" s="236"/>
      <c r="E68" s="240"/>
      <c r="F68" s="226"/>
      <c r="G68" s="227"/>
      <c r="H68" s="194" t="s">
        <v>947</v>
      </c>
      <c r="I68" s="119"/>
      <c r="J68" s="119"/>
      <c r="K68" s="125">
        <v>100000</v>
      </c>
    </row>
    <row r="69" spans="1:11" ht="12" customHeight="1">
      <c r="A69" s="230"/>
      <c r="B69" s="323"/>
      <c r="C69" s="212" t="s">
        <v>620</v>
      </c>
      <c r="D69" s="232">
        <v>0</v>
      </c>
      <c r="E69" s="232">
        <v>0</v>
      </c>
      <c r="F69" s="241">
        <f t="shared" si="0"/>
        <v>0</v>
      </c>
      <c r="G69" s="235">
        <v>0</v>
      </c>
      <c r="H69" s="333" t="s">
        <v>621</v>
      </c>
      <c r="I69" s="249"/>
      <c r="J69" s="249"/>
      <c r="K69" s="254"/>
    </row>
    <row r="70" spans="1:11" ht="12" customHeight="1">
      <c r="A70" s="230"/>
      <c r="B70" s="323"/>
      <c r="C70" s="238"/>
      <c r="D70" s="239"/>
      <c r="E70" s="239"/>
      <c r="F70" s="280"/>
      <c r="G70" s="220"/>
      <c r="H70" s="194" t="s">
        <v>622</v>
      </c>
      <c r="I70" s="119"/>
      <c r="J70" s="119"/>
      <c r="K70" s="125"/>
    </row>
    <row r="71" spans="1:11" ht="12" customHeight="1">
      <c r="A71" s="230"/>
      <c r="B71" s="320"/>
      <c r="C71" s="250" t="s">
        <v>623</v>
      </c>
      <c r="D71" s="239">
        <v>0</v>
      </c>
      <c r="E71" s="221">
        <v>0</v>
      </c>
      <c r="F71" s="226">
        <f t="shared" si="0"/>
        <v>0</v>
      </c>
      <c r="G71" s="227">
        <v>0</v>
      </c>
      <c r="H71" s="330" t="s">
        <v>624</v>
      </c>
      <c r="I71" s="193"/>
      <c r="J71" s="193"/>
      <c r="K71" s="132"/>
    </row>
    <row r="72" spans="1:11" ht="12" customHeight="1">
      <c r="A72" s="230"/>
      <c r="B72" s="320"/>
      <c r="C72" s="311" t="s">
        <v>625</v>
      </c>
      <c r="D72" s="232">
        <v>410</v>
      </c>
      <c r="E72" s="232">
        <v>570</v>
      </c>
      <c r="F72" s="241">
        <f t="shared" si="0"/>
        <v>160</v>
      </c>
      <c r="G72" s="235">
        <f>F72*100/D72</f>
        <v>39.02439024390244</v>
      </c>
      <c r="H72" s="333" t="s">
        <v>949</v>
      </c>
      <c r="I72" s="249"/>
      <c r="J72" s="249"/>
      <c r="K72" s="254">
        <v>30000</v>
      </c>
    </row>
    <row r="73" spans="1:11" ht="12" customHeight="1">
      <c r="A73" s="230"/>
      <c r="B73" s="320"/>
      <c r="C73" s="311"/>
      <c r="D73" s="236"/>
      <c r="E73" s="236"/>
      <c r="F73" s="252"/>
      <c r="G73" s="253"/>
      <c r="H73" s="333" t="s">
        <v>948</v>
      </c>
      <c r="I73" s="249">
        <v>20000</v>
      </c>
      <c r="J73" s="249" t="s">
        <v>98</v>
      </c>
      <c r="K73" s="254">
        <f>SUM(I73*10)</f>
        <v>200000</v>
      </c>
    </row>
    <row r="74" spans="1:11" ht="12" customHeight="1">
      <c r="A74" s="230"/>
      <c r="B74" s="320"/>
      <c r="C74" s="311"/>
      <c r="D74" s="236"/>
      <c r="E74" s="236"/>
      <c r="F74" s="252"/>
      <c r="G74" s="253"/>
      <c r="H74" s="333" t="s">
        <v>551</v>
      </c>
      <c r="I74" s="249">
        <v>140000</v>
      </c>
      <c r="J74" s="249" t="s">
        <v>109</v>
      </c>
      <c r="K74" s="254">
        <f>SUM(I74*1)</f>
        <v>140000</v>
      </c>
    </row>
    <row r="75" spans="1:11" ht="12" customHeight="1">
      <c r="A75" s="230"/>
      <c r="B75" s="320"/>
      <c r="C75" s="238"/>
      <c r="D75" s="239"/>
      <c r="E75" s="239"/>
      <c r="F75" s="280"/>
      <c r="G75" s="220"/>
      <c r="H75" s="194" t="s">
        <v>626</v>
      </c>
      <c r="I75" s="119">
        <v>50000</v>
      </c>
      <c r="J75" s="119" t="s">
        <v>101</v>
      </c>
      <c r="K75" s="125">
        <f>SUM(I75*4)</f>
        <v>200000</v>
      </c>
    </row>
    <row r="76" spans="1:11" ht="12" customHeight="1">
      <c r="A76" s="230"/>
      <c r="B76" s="320"/>
      <c r="C76" s="311" t="s">
        <v>627</v>
      </c>
      <c r="D76" s="232">
        <v>43550</v>
      </c>
      <c r="E76" s="232">
        <v>43360</v>
      </c>
      <c r="F76" s="241">
        <f t="shared" si="0"/>
        <v>-190</v>
      </c>
      <c r="G76" s="235">
        <f>F76*100/D76</f>
        <v>-0.4362801377726751</v>
      </c>
      <c r="H76" s="333" t="s">
        <v>628</v>
      </c>
      <c r="I76" s="249"/>
      <c r="J76" s="249"/>
      <c r="K76" s="254">
        <v>160000</v>
      </c>
    </row>
    <row r="77" spans="1:11" ht="12" customHeight="1">
      <c r="A77" s="230"/>
      <c r="B77" s="320"/>
      <c r="C77" s="238"/>
      <c r="D77" s="239"/>
      <c r="E77" s="239"/>
      <c r="F77" s="280"/>
      <c r="G77" s="220"/>
      <c r="H77" s="194" t="s">
        <v>629</v>
      </c>
      <c r="I77" s="119">
        <v>3600000</v>
      </c>
      <c r="J77" s="119" t="s">
        <v>53</v>
      </c>
      <c r="K77" s="125">
        <f>SUM(I77*12)</f>
        <v>43200000</v>
      </c>
    </row>
    <row r="78" spans="1:11" ht="12" customHeight="1">
      <c r="A78" s="230"/>
      <c r="B78" s="320"/>
      <c r="C78" s="209" t="s">
        <v>272</v>
      </c>
      <c r="D78" s="275">
        <v>200</v>
      </c>
      <c r="E78" s="275">
        <v>150</v>
      </c>
      <c r="F78" s="226">
        <f t="shared" si="0"/>
        <v>-50</v>
      </c>
      <c r="G78" s="227">
        <v>0</v>
      </c>
      <c r="H78" s="242" t="s">
        <v>950</v>
      </c>
      <c r="I78" s="193">
        <v>150000</v>
      </c>
      <c r="J78" s="193" t="s">
        <v>109</v>
      </c>
      <c r="K78" s="132">
        <f>SUM(I78*1)</f>
        <v>150000</v>
      </c>
    </row>
    <row r="79" spans="1:11" ht="12" customHeight="1">
      <c r="A79" s="374"/>
      <c r="B79" s="321"/>
      <c r="C79" s="250" t="s">
        <v>273</v>
      </c>
      <c r="D79" s="239">
        <v>200</v>
      </c>
      <c r="E79" s="239">
        <v>250</v>
      </c>
      <c r="F79" s="219">
        <f>E79-D79</f>
        <v>50</v>
      </c>
      <c r="G79" s="220">
        <f>F79*100/D79</f>
        <v>25</v>
      </c>
      <c r="H79" s="194" t="s">
        <v>630</v>
      </c>
      <c r="I79" s="119"/>
      <c r="J79" s="119"/>
      <c r="K79" s="125">
        <v>250000</v>
      </c>
    </row>
    <row r="80" spans="1:11" ht="16.5" customHeight="1" thickBot="1">
      <c r="A80" s="348" t="s">
        <v>238</v>
      </c>
      <c r="B80" s="326" t="s">
        <v>38</v>
      </c>
      <c r="C80" s="327" t="s">
        <v>39</v>
      </c>
      <c r="D80" s="245">
        <v>316</v>
      </c>
      <c r="E80" s="245">
        <v>198</v>
      </c>
      <c r="F80" s="347">
        <f>E80-D80</f>
        <v>-118</v>
      </c>
      <c r="G80" s="259">
        <v>0</v>
      </c>
      <c r="H80" s="282" t="s">
        <v>631</v>
      </c>
      <c r="I80" s="260"/>
      <c r="J80" s="260"/>
      <c r="K80" s="272">
        <v>198000</v>
      </c>
    </row>
    <row r="81" spans="1:11" ht="24" customHeight="1">
      <c r="A81" s="590" t="s">
        <v>980</v>
      </c>
      <c r="B81" s="590"/>
      <c r="C81" s="590"/>
      <c r="D81" s="590"/>
      <c r="E81" s="590"/>
      <c r="F81" s="590"/>
      <c r="G81" s="590"/>
      <c r="H81" s="590"/>
      <c r="I81" s="590"/>
      <c r="J81" s="590"/>
      <c r="K81" s="590"/>
    </row>
    <row r="82" spans="1:11" ht="21" customHeight="1" thickBot="1">
      <c r="A82" s="591" t="s">
        <v>41</v>
      </c>
      <c r="B82" s="591"/>
      <c r="C82" s="591"/>
      <c r="D82" s="591"/>
      <c r="E82" s="591"/>
      <c r="F82" s="591"/>
      <c r="G82" s="591"/>
      <c r="H82" s="591"/>
      <c r="I82" s="591"/>
      <c r="J82" s="591"/>
      <c r="K82" s="591"/>
    </row>
    <row r="83" spans="1:11" ht="13.5">
      <c r="A83" s="584" t="s">
        <v>5</v>
      </c>
      <c r="B83" s="574" t="s">
        <v>6</v>
      </c>
      <c r="C83" s="574" t="s">
        <v>7</v>
      </c>
      <c r="D83" s="574" t="s">
        <v>1080</v>
      </c>
      <c r="E83" s="574" t="s">
        <v>1081</v>
      </c>
      <c r="F83" s="577" t="s">
        <v>42</v>
      </c>
      <c r="G83" s="552"/>
      <c r="H83" s="578" t="s">
        <v>43</v>
      </c>
      <c r="I83" s="598"/>
      <c r="J83" s="598"/>
      <c r="K83" s="599"/>
    </row>
    <row r="84" spans="1:11" ht="14.25" thickBot="1">
      <c r="A84" s="585"/>
      <c r="B84" s="575"/>
      <c r="C84" s="575"/>
      <c r="D84" s="575"/>
      <c r="E84" s="575"/>
      <c r="F84" s="244" t="s">
        <v>9</v>
      </c>
      <c r="G84" s="344" t="s">
        <v>44</v>
      </c>
      <c r="H84" s="600"/>
      <c r="I84" s="601"/>
      <c r="J84" s="601"/>
      <c r="K84" s="602"/>
    </row>
    <row r="85" spans="1:11" ht="24" customHeight="1">
      <c r="A85" s="586" t="s">
        <v>1088</v>
      </c>
      <c r="B85" s="560"/>
      <c r="C85" s="609"/>
      <c r="D85" s="184">
        <f>SUM(D86+D97+D99+D102)</f>
        <v>105086</v>
      </c>
      <c r="E85" s="184">
        <f>SUM(E86+E97+E99+E102)</f>
        <v>108807</v>
      </c>
      <c r="F85" s="523">
        <f aca="true" t="shared" si="1" ref="F85:F90">E85-D85</f>
        <v>3721</v>
      </c>
      <c r="G85" s="264">
        <f>F85*100/D85</f>
        <v>3.540909350436785</v>
      </c>
      <c r="H85" s="265"/>
      <c r="I85" s="283"/>
      <c r="J85" s="283"/>
      <c r="K85" s="524">
        <f>SUM(K86+K97+K99+K102)</f>
        <v>108806546</v>
      </c>
    </row>
    <row r="86" spans="1:11" ht="23.25" customHeight="1">
      <c r="A86" s="248" t="s">
        <v>241</v>
      </c>
      <c r="B86" s="592" t="s">
        <v>11</v>
      </c>
      <c r="C86" s="594"/>
      <c r="D86" s="120">
        <f>SUM(D88+D89+D90+D93)</f>
        <v>104782</v>
      </c>
      <c r="E86" s="120">
        <f>SUM(E88+E89+E90+E93)</f>
        <v>108782</v>
      </c>
      <c r="F86" s="219">
        <f t="shared" si="1"/>
        <v>4000</v>
      </c>
      <c r="G86" s="220">
        <f>F86*100/D86</f>
        <v>3.817449561947663</v>
      </c>
      <c r="H86" s="342" t="s">
        <v>580</v>
      </c>
      <c r="I86" s="222"/>
      <c r="J86" s="222"/>
      <c r="K86" s="497">
        <f>SUM(K88+K89+K90+K93)</f>
        <v>108782000</v>
      </c>
    </row>
    <row r="87" spans="1:11" ht="19.5" customHeight="1">
      <c r="A87" s="248" t="s">
        <v>242</v>
      </c>
      <c r="B87" s="201" t="s">
        <v>581</v>
      </c>
      <c r="C87" s="215" t="s">
        <v>13</v>
      </c>
      <c r="D87" s="185">
        <f>SUM(D88+D89+D90)</f>
        <v>60282</v>
      </c>
      <c r="E87" s="185">
        <f>SUM(E88+E89+E90)</f>
        <v>60282</v>
      </c>
      <c r="F87" s="295">
        <f t="shared" si="1"/>
        <v>0</v>
      </c>
      <c r="G87" s="235">
        <f>F87*100/D87</f>
        <v>0</v>
      </c>
      <c r="H87" s="228"/>
      <c r="I87" s="229"/>
      <c r="J87" s="229"/>
      <c r="K87" s="132">
        <f>SUM(K88+K89+K90)</f>
        <v>60282000</v>
      </c>
    </row>
    <row r="88" spans="1:11" ht="19.5" customHeight="1">
      <c r="A88" s="230"/>
      <c r="B88" s="255"/>
      <c r="C88" s="209" t="s">
        <v>632</v>
      </c>
      <c r="D88" s="185">
        <v>52888</v>
      </c>
      <c r="E88" s="185">
        <v>56727</v>
      </c>
      <c r="F88" s="226">
        <f t="shared" si="1"/>
        <v>3839</v>
      </c>
      <c r="G88" s="227">
        <v>0</v>
      </c>
      <c r="H88" s="330" t="s">
        <v>633</v>
      </c>
      <c r="I88" s="193"/>
      <c r="J88" s="193"/>
      <c r="K88" s="132">
        <v>56727000</v>
      </c>
    </row>
    <row r="89" spans="1:11" ht="19.5" customHeight="1">
      <c r="A89" s="230"/>
      <c r="B89" s="255"/>
      <c r="C89" s="209" t="s">
        <v>278</v>
      </c>
      <c r="D89" s="185">
        <v>2400</v>
      </c>
      <c r="E89" s="185">
        <v>2400</v>
      </c>
      <c r="F89" s="226">
        <f t="shared" si="1"/>
        <v>0</v>
      </c>
      <c r="G89" s="227">
        <v>0</v>
      </c>
      <c r="H89" s="242" t="s">
        <v>67</v>
      </c>
      <c r="I89" s="193"/>
      <c r="J89" s="193"/>
      <c r="K89" s="132">
        <v>2400000</v>
      </c>
    </row>
    <row r="90" spans="1:11" ht="19.5" customHeight="1">
      <c r="A90" s="230"/>
      <c r="B90" s="231"/>
      <c r="C90" s="212" t="s">
        <v>634</v>
      </c>
      <c r="D90" s="294">
        <v>4994</v>
      </c>
      <c r="E90" s="294">
        <v>1155</v>
      </c>
      <c r="F90" s="241">
        <f t="shared" si="1"/>
        <v>-3839</v>
      </c>
      <c r="G90" s="235">
        <f>F90*100/D90</f>
        <v>-76.87224669603525</v>
      </c>
      <c r="H90" s="330" t="s">
        <v>1086</v>
      </c>
      <c r="I90" s="193"/>
      <c r="J90" s="193"/>
      <c r="K90" s="132">
        <v>1155000</v>
      </c>
    </row>
    <row r="91" spans="1:11" ht="19.5" customHeight="1">
      <c r="A91" s="230"/>
      <c r="B91" s="231"/>
      <c r="C91" s="208"/>
      <c r="D91" s="236"/>
      <c r="E91" s="267"/>
      <c r="F91" s="252"/>
      <c r="G91" s="253"/>
      <c r="H91" s="333"/>
      <c r="I91" s="249"/>
      <c r="J91" s="249"/>
      <c r="K91" s="254"/>
    </row>
    <row r="92" spans="1:11" ht="19.5" customHeight="1">
      <c r="A92" s="230"/>
      <c r="B92" s="276"/>
      <c r="C92" s="238"/>
      <c r="D92" s="239"/>
      <c r="E92" s="120"/>
      <c r="F92" s="280"/>
      <c r="G92" s="220"/>
      <c r="H92" s="194"/>
      <c r="I92" s="119"/>
      <c r="J92" s="119"/>
      <c r="K92" s="125"/>
    </row>
    <row r="93" spans="1:11" ht="19.5" customHeight="1">
      <c r="A93" s="248"/>
      <c r="B93" s="216" t="s">
        <v>244</v>
      </c>
      <c r="C93" s="231" t="s">
        <v>13</v>
      </c>
      <c r="D93" s="120">
        <f>SUM(D94)</f>
        <v>44500</v>
      </c>
      <c r="E93" s="120">
        <f>SUM(E94)</f>
        <v>48500</v>
      </c>
      <c r="F93" s="349">
        <f>E93-D93</f>
        <v>4000</v>
      </c>
      <c r="G93" s="253">
        <f>F93*100/D93</f>
        <v>8.98876404494382</v>
      </c>
      <c r="H93" s="343" t="s">
        <v>246</v>
      </c>
      <c r="I93" s="281"/>
      <c r="J93" s="281"/>
      <c r="K93" s="132">
        <f>SUM(K94)</f>
        <v>48500000</v>
      </c>
    </row>
    <row r="94" spans="1:11" ht="19.5" customHeight="1">
      <c r="A94" s="230"/>
      <c r="B94" s="231"/>
      <c r="C94" s="212" t="s">
        <v>245</v>
      </c>
      <c r="D94" s="294">
        <v>44500</v>
      </c>
      <c r="E94" s="294">
        <v>48500</v>
      </c>
      <c r="F94" s="241">
        <f>E94-D94</f>
        <v>4000</v>
      </c>
      <c r="G94" s="235">
        <f>F94*100/D94</f>
        <v>8.98876404494382</v>
      </c>
      <c r="H94" s="242" t="s">
        <v>635</v>
      </c>
      <c r="I94" s="193"/>
      <c r="J94" s="193"/>
      <c r="K94" s="132">
        <f>SUM(K95:K96)</f>
        <v>48500000</v>
      </c>
    </row>
    <row r="95" spans="1:11" ht="19.5" customHeight="1">
      <c r="A95" s="230"/>
      <c r="B95" s="231"/>
      <c r="C95" s="208"/>
      <c r="D95" s="236"/>
      <c r="E95" s="267"/>
      <c r="F95" s="252"/>
      <c r="G95" s="253"/>
      <c r="H95" s="343" t="s">
        <v>636</v>
      </c>
      <c r="I95" s="350"/>
      <c r="J95" s="350"/>
      <c r="K95" s="132">
        <v>5300000</v>
      </c>
    </row>
    <row r="96" spans="1:11" ht="19.5" customHeight="1">
      <c r="A96" s="374"/>
      <c r="B96" s="276"/>
      <c r="C96" s="238"/>
      <c r="D96" s="239"/>
      <c r="E96" s="120"/>
      <c r="F96" s="280"/>
      <c r="G96" s="220"/>
      <c r="H96" s="336" t="s">
        <v>1087</v>
      </c>
      <c r="I96" s="193">
        <v>3600000</v>
      </c>
      <c r="J96" s="193" t="s">
        <v>53</v>
      </c>
      <c r="K96" s="132">
        <f>SUM(I96*12)</f>
        <v>43200000</v>
      </c>
    </row>
    <row r="97" spans="1:11" ht="19.5" customHeight="1">
      <c r="A97" s="268" t="s">
        <v>249</v>
      </c>
      <c r="B97" s="607" t="s">
        <v>11</v>
      </c>
      <c r="C97" s="594"/>
      <c r="D97" s="120">
        <f>SUM(D98)</f>
        <v>0</v>
      </c>
      <c r="E97" s="120">
        <f>SUM(E98)</f>
        <v>0</v>
      </c>
      <c r="F97" s="219"/>
      <c r="G97" s="407"/>
      <c r="H97" s="342"/>
      <c r="I97" s="222"/>
      <c r="J97" s="222"/>
      <c r="K97" s="125"/>
    </row>
    <row r="98" spans="1:11" ht="19.5" customHeight="1">
      <c r="A98" s="374"/>
      <c r="B98" s="377" t="s">
        <v>37</v>
      </c>
      <c r="C98" s="289" t="s">
        <v>637</v>
      </c>
      <c r="D98" s="193">
        <v>0</v>
      </c>
      <c r="E98" s="185">
        <v>0</v>
      </c>
      <c r="F98" s="284"/>
      <c r="G98" s="227"/>
      <c r="H98" s="343"/>
      <c r="I98" s="350"/>
      <c r="J98" s="350"/>
      <c r="K98" s="132"/>
    </row>
    <row r="99" spans="1:11" ht="19.5" customHeight="1">
      <c r="A99" s="268" t="s">
        <v>250</v>
      </c>
      <c r="B99" s="608" t="s">
        <v>11</v>
      </c>
      <c r="C99" s="594"/>
      <c r="D99" s="120">
        <f>SUM(D101:D101)</f>
        <v>304</v>
      </c>
      <c r="E99" s="120">
        <f>SUM(E101:E101)</f>
        <v>25</v>
      </c>
      <c r="F99" s="219">
        <f aca="true" t="shared" si="2" ref="F99:F105">E99-D99</f>
        <v>-279</v>
      </c>
      <c r="G99" s="220">
        <f>F99*100/D99</f>
        <v>-91.77631578947368</v>
      </c>
      <c r="H99" s="342" t="s">
        <v>582</v>
      </c>
      <c r="I99" s="222"/>
      <c r="J99" s="222"/>
      <c r="K99" s="125">
        <f>SUM(K101:K101)</f>
        <v>24546</v>
      </c>
    </row>
    <row r="100" spans="1:11" ht="19.5" customHeight="1">
      <c r="A100" s="268"/>
      <c r="B100" s="345" t="s">
        <v>16</v>
      </c>
      <c r="C100" s="290" t="s">
        <v>13</v>
      </c>
      <c r="D100" s="185">
        <f>SUM(D101:D101)</f>
        <v>304</v>
      </c>
      <c r="E100" s="185">
        <f>SUM(E101:E101)</f>
        <v>25</v>
      </c>
      <c r="F100" s="284">
        <f t="shared" si="2"/>
        <v>-279</v>
      </c>
      <c r="G100" s="227">
        <f>F100*100/D100</f>
        <v>-91.77631578947368</v>
      </c>
      <c r="H100" s="343"/>
      <c r="I100" s="229"/>
      <c r="J100" s="222"/>
      <c r="K100" s="132">
        <f>SUM(K101:K101)</f>
        <v>24546</v>
      </c>
    </row>
    <row r="101" spans="1:11" ht="19.5" customHeight="1">
      <c r="A101" s="217"/>
      <c r="B101" s="392"/>
      <c r="C101" s="355" t="s">
        <v>269</v>
      </c>
      <c r="D101" s="193">
        <v>304</v>
      </c>
      <c r="E101" s="185">
        <v>25</v>
      </c>
      <c r="F101" s="284">
        <f t="shared" si="2"/>
        <v>-279</v>
      </c>
      <c r="G101" s="227">
        <f>F101*100/D101</f>
        <v>-91.77631578947368</v>
      </c>
      <c r="H101" s="343" t="s">
        <v>638</v>
      </c>
      <c r="I101" s="350"/>
      <c r="J101" s="350"/>
      <c r="K101" s="132">
        <v>24546</v>
      </c>
    </row>
    <row r="102" spans="1:11" ht="19.5" customHeight="1">
      <c r="A102" s="268" t="s">
        <v>251</v>
      </c>
      <c r="B102" s="608" t="s">
        <v>11</v>
      </c>
      <c r="C102" s="594"/>
      <c r="D102" s="120">
        <v>0</v>
      </c>
      <c r="E102" s="120">
        <v>0</v>
      </c>
      <c r="F102" s="219">
        <f t="shared" si="2"/>
        <v>0</v>
      </c>
      <c r="G102" s="220">
        <v>0</v>
      </c>
      <c r="H102" s="342" t="s">
        <v>254</v>
      </c>
      <c r="I102" s="222"/>
      <c r="J102" s="222"/>
      <c r="K102" s="125">
        <f>SUM(K104:K106)</f>
        <v>0</v>
      </c>
    </row>
    <row r="103" spans="1:11" ht="19.5" customHeight="1">
      <c r="A103" s="268"/>
      <c r="B103" s="345" t="s">
        <v>18</v>
      </c>
      <c r="C103" s="290" t="s">
        <v>13</v>
      </c>
      <c r="D103" s="185">
        <f>SUM(D104:D106)</f>
        <v>0</v>
      </c>
      <c r="E103" s="185">
        <f>SUM(E104:E106)</f>
        <v>0</v>
      </c>
      <c r="F103" s="284">
        <f t="shared" si="2"/>
        <v>0</v>
      </c>
      <c r="G103" s="227">
        <v>0</v>
      </c>
      <c r="H103" s="343"/>
      <c r="I103" s="229"/>
      <c r="J103" s="222"/>
      <c r="K103" s="132">
        <f>SUM(K104:K106)</f>
        <v>0</v>
      </c>
    </row>
    <row r="104" spans="1:11" ht="19.5" customHeight="1">
      <c r="A104" s="268"/>
      <c r="B104" s="266"/>
      <c r="C104" s="355" t="s">
        <v>252</v>
      </c>
      <c r="D104" s="185">
        <v>0</v>
      </c>
      <c r="E104" s="185">
        <v>0</v>
      </c>
      <c r="F104" s="284">
        <f t="shared" si="2"/>
        <v>0</v>
      </c>
      <c r="G104" s="227">
        <v>0</v>
      </c>
      <c r="H104" s="343" t="s">
        <v>583</v>
      </c>
      <c r="I104" s="229"/>
      <c r="J104" s="281"/>
      <c r="K104" s="132">
        <v>0</v>
      </c>
    </row>
    <row r="105" spans="1:11" ht="19.5" customHeight="1" thickBot="1">
      <c r="A105" s="270"/>
      <c r="B105" s="344"/>
      <c r="C105" s="354" t="s">
        <v>20</v>
      </c>
      <c r="D105" s="351">
        <v>0</v>
      </c>
      <c r="E105" s="351">
        <v>0</v>
      </c>
      <c r="F105" s="352">
        <f t="shared" si="2"/>
        <v>0</v>
      </c>
      <c r="G105" s="303">
        <v>0</v>
      </c>
      <c r="H105" s="500" t="s">
        <v>253</v>
      </c>
      <c r="I105" s="353"/>
      <c r="J105" s="353"/>
      <c r="K105" s="262">
        <v>0</v>
      </c>
    </row>
  </sheetData>
  <mergeCells count="33">
    <mergeCell ref="H3:K4"/>
    <mergeCell ref="A5:C5"/>
    <mergeCell ref="B6:C6"/>
    <mergeCell ref="A1:K1"/>
    <mergeCell ref="A2:K2"/>
    <mergeCell ref="A3:A4"/>
    <mergeCell ref="B3:B4"/>
    <mergeCell ref="C3:C4"/>
    <mergeCell ref="D3:D4"/>
    <mergeCell ref="E3:E4"/>
    <mergeCell ref="F3:G3"/>
    <mergeCell ref="A81:K81"/>
    <mergeCell ref="A82:K82"/>
    <mergeCell ref="B59:C59"/>
    <mergeCell ref="E42:E43"/>
    <mergeCell ref="F42:G42"/>
    <mergeCell ref="H42:K43"/>
    <mergeCell ref="A42:A43"/>
    <mergeCell ref="B42:B43"/>
    <mergeCell ref="C42:C43"/>
    <mergeCell ref="D42:D43"/>
    <mergeCell ref="E83:E84"/>
    <mergeCell ref="F83:G83"/>
    <mergeCell ref="H83:K84"/>
    <mergeCell ref="A83:A84"/>
    <mergeCell ref="B83:B84"/>
    <mergeCell ref="C83:C84"/>
    <mergeCell ref="D83:D84"/>
    <mergeCell ref="B97:C97"/>
    <mergeCell ref="B99:C99"/>
    <mergeCell ref="B102:C102"/>
    <mergeCell ref="A85:C85"/>
    <mergeCell ref="B86:C86"/>
  </mergeCells>
  <printOptions/>
  <pageMargins left="0.15748031496062992" right="0.1968503937007874" top="0.5905511811023623" bottom="0.3937007874015748" header="0" footer="0.5118110236220472"/>
  <pageSetup horizontalDpi="300" verticalDpi="300" orientation="landscape" paperSize="9" r:id="rId1"/>
  <ignoredErrors>
    <ignoredError sqref="K47 K51 K73 K91 K97" formula="1"/>
    <ignoredError sqref="E57:E58 D57:D5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104"/>
  <sheetViews>
    <sheetView zoomScale="75" zoomScaleNormal="75" workbookViewId="0" topLeftCell="A1">
      <selection activeCell="F28" sqref="F28"/>
    </sheetView>
  </sheetViews>
  <sheetFormatPr defaultColWidth="8.88671875" defaultRowHeight="13.5"/>
  <cols>
    <col min="2" max="2" width="12.6640625" style="0" customWidth="1"/>
    <col min="3" max="3" width="15.88671875" style="0" customWidth="1"/>
    <col min="4" max="7" width="8.99609375" style="0" bestFit="1" customWidth="1"/>
    <col min="8" max="8" width="15.4453125" style="0" customWidth="1"/>
    <col min="9" max="9" width="12.3359375" style="0" customWidth="1"/>
    <col min="10" max="10" width="11.21484375" style="0" customWidth="1"/>
    <col min="11" max="11" width="12.10546875" style="0" customWidth="1"/>
  </cols>
  <sheetData>
    <row r="1" spans="1:11" ht="17.25" customHeight="1">
      <c r="A1" s="590" t="s">
        <v>261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</row>
    <row r="2" spans="1:11" ht="16.5" customHeight="1" thickBot="1">
      <c r="A2" s="603" t="s">
        <v>41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1" ht="12.75" customHeight="1">
      <c r="A3" s="628" t="s">
        <v>5</v>
      </c>
      <c r="B3" s="630" t="s">
        <v>6</v>
      </c>
      <c r="C3" s="630" t="s">
        <v>7</v>
      </c>
      <c r="D3" s="630" t="s">
        <v>1080</v>
      </c>
      <c r="E3" s="630" t="s">
        <v>1081</v>
      </c>
      <c r="F3" s="632" t="s">
        <v>42</v>
      </c>
      <c r="G3" s="635"/>
      <c r="H3" s="613" t="s">
        <v>43</v>
      </c>
      <c r="I3" s="614"/>
      <c r="J3" s="614"/>
      <c r="K3" s="615"/>
    </row>
    <row r="4" spans="1:11" ht="12.75" customHeight="1" thickBot="1">
      <c r="A4" s="638"/>
      <c r="B4" s="634"/>
      <c r="C4" s="634"/>
      <c r="D4" s="634"/>
      <c r="E4" s="634"/>
      <c r="F4" s="153" t="s">
        <v>9</v>
      </c>
      <c r="G4" s="525" t="s">
        <v>44</v>
      </c>
      <c r="H4" s="616"/>
      <c r="I4" s="617"/>
      <c r="J4" s="617"/>
      <c r="K4" s="618"/>
    </row>
    <row r="5" spans="1:11" ht="20.25" customHeight="1">
      <c r="A5" s="625" t="s">
        <v>1089</v>
      </c>
      <c r="B5" s="636"/>
      <c r="C5" s="627"/>
      <c r="D5" s="184">
        <f>SUM(D6+D56+D60)</f>
        <v>63192</v>
      </c>
      <c r="E5" s="184">
        <f>SUM(E6+E56+E60+E76)</f>
        <v>57736</v>
      </c>
      <c r="F5" s="526">
        <f>E5-D5</f>
        <v>-5456</v>
      </c>
      <c r="G5" s="527">
        <f>F5*100/D5</f>
        <v>-8.634004304342321</v>
      </c>
      <c r="H5" s="528"/>
      <c r="I5" s="529"/>
      <c r="J5" s="529"/>
      <c r="K5" s="524">
        <f>SUM(K6+K56+K60+K76)</f>
        <v>57735577.72666667</v>
      </c>
    </row>
    <row r="6" spans="1:11" ht="16.5" customHeight="1">
      <c r="A6" s="356" t="s">
        <v>45</v>
      </c>
      <c r="B6" s="637" t="s">
        <v>11</v>
      </c>
      <c r="C6" s="620"/>
      <c r="D6" s="120">
        <f>SUM(D7+D43)</f>
        <v>54363</v>
      </c>
      <c r="E6" s="120">
        <f>SUM(E7+E43)</f>
        <v>47073</v>
      </c>
      <c r="F6" s="121">
        <f>E6-D6</f>
        <v>-7290</v>
      </c>
      <c r="G6" s="122">
        <f>F6*100/D6</f>
        <v>-13.409855968213675</v>
      </c>
      <c r="H6" s="357" t="s">
        <v>603</v>
      </c>
      <c r="I6" s="124"/>
      <c r="J6" s="124"/>
      <c r="K6" s="125">
        <f>SUM(K7+K43)</f>
        <v>47072741.72666667</v>
      </c>
    </row>
    <row r="7" spans="1:11" ht="15" customHeight="1">
      <c r="A7" s="133"/>
      <c r="B7" s="427" t="s">
        <v>955</v>
      </c>
      <c r="C7" s="127" t="s">
        <v>13</v>
      </c>
      <c r="D7" s="185">
        <f>SUM(D8+D13+D17+D20+D23+D24+D31+D32+D37+D40)</f>
        <v>46267</v>
      </c>
      <c r="E7" s="185">
        <f>SUM(E8+E13+E17+E20+E23+E24+E31+E32+E37+E40)</f>
        <v>37693</v>
      </c>
      <c r="F7" s="186">
        <f>E7-D7</f>
        <v>-8574</v>
      </c>
      <c r="G7" s="129">
        <f>F7*100/D7</f>
        <v>-18.53156677545551</v>
      </c>
      <c r="H7" s="358" t="s">
        <v>218</v>
      </c>
      <c r="I7" s="131"/>
      <c r="J7" s="131"/>
      <c r="K7" s="132">
        <f>SUM(K8+K13+K17+K20+K23+K24+K31+K32+K37+K40)</f>
        <v>37693141.72666667</v>
      </c>
    </row>
    <row r="8" spans="1:11" ht="12.75" customHeight="1">
      <c r="A8" s="133"/>
      <c r="B8" s="134"/>
      <c r="C8" s="135" t="s">
        <v>69</v>
      </c>
      <c r="D8" s="137">
        <v>16284</v>
      </c>
      <c r="E8" s="137">
        <v>17904</v>
      </c>
      <c r="F8" s="138">
        <f>E8-D8</f>
        <v>1620</v>
      </c>
      <c r="G8" s="139">
        <f>F8*100/D8</f>
        <v>9.948415622697127</v>
      </c>
      <c r="H8" s="149" t="s">
        <v>46</v>
      </c>
      <c r="I8" s="140"/>
      <c r="J8" s="140"/>
      <c r="K8" s="141">
        <f>SUM(K9:K12)</f>
        <v>17904000</v>
      </c>
    </row>
    <row r="9" spans="1:11" ht="12" customHeight="1">
      <c r="A9" s="133"/>
      <c r="B9" s="134"/>
      <c r="C9" s="142"/>
      <c r="D9" s="143"/>
      <c r="E9" s="143"/>
      <c r="F9" s="143"/>
      <c r="G9" s="143"/>
      <c r="H9" s="382" t="s">
        <v>663</v>
      </c>
      <c r="I9" s="383">
        <v>697000</v>
      </c>
      <c r="J9" s="383" t="s">
        <v>53</v>
      </c>
      <c r="K9" s="384">
        <f>SUM(I9*12)</f>
        <v>8364000</v>
      </c>
    </row>
    <row r="10" spans="1:11" ht="12" customHeight="1">
      <c r="A10" s="133"/>
      <c r="B10" s="134"/>
      <c r="C10" s="142"/>
      <c r="D10" s="143"/>
      <c r="E10" s="143"/>
      <c r="F10" s="143"/>
      <c r="G10" s="143"/>
      <c r="H10" s="368" t="s">
        <v>761</v>
      </c>
      <c r="I10" s="155">
        <v>660000</v>
      </c>
      <c r="J10" s="155" t="s">
        <v>762</v>
      </c>
      <c r="K10" s="158">
        <f>SUM(I10*9)</f>
        <v>5940000</v>
      </c>
    </row>
    <row r="11" spans="1:11" ht="12" customHeight="1">
      <c r="A11" s="133"/>
      <c r="B11" s="134"/>
      <c r="C11" s="142"/>
      <c r="D11" s="143"/>
      <c r="E11" s="143"/>
      <c r="F11" s="143"/>
      <c r="G11" s="143"/>
      <c r="H11" s="381" t="s">
        <v>763</v>
      </c>
      <c r="I11" s="155">
        <v>600000</v>
      </c>
      <c r="J11" s="155" t="s">
        <v>765</v>
      </c>
      <c r="K11" s="158">
        <f>SUM(I11*3)</f>
        <v>1800000</v>
      </c>
    </row>
    <row r="12" spans="1:11" ht="12" customHeight="1">
      <c r="A12" s="133"/>
      <c r="B12" s="134"/>
      <c r="C12" s="144"/>
      <c r="D12" s="145"/>
      <c r="E12" s="145"/>
      <c r="F12" s="143"/>
      <c r="G12" s="143"/>
      <c r="H12" s="331" t="s">
        <v>764</v>
      </c>
      <c r="I12" s="161">
        <v>600000</v>
      </c>
      <c r="J12" s="155" t="s">
        <v>765</v>
      </c>
      <c r="K12" s="158">
        <f>SUM(I12*3)</f>
        <v>1800000</v>
      </c>
    </row>
    <row r="13" spans="1:11" ht="12" customHeight="1">
      <c r="A13" s="133"/>
      <c r="B13" s="164"/>
      <c r="C13" s="135" t="s">
        <v>61</v>
      </c>
      <c r="D13" s="196">
        <v>6924</v>
      </c>
      <c r="E13" s="196">
        <v>6264</v>
      </c>
      <c r="F13" s="148">
        <f>E13-D13</f>
        <v>-660</v>
      </c>
      <c r="G13" s="139">
        <f>F13*100/D13</f>
        <v>-9.532062391681109</v>
      </c>
      <c r="H13" s="149" t="s">
        <v>47</v>
      </c>
      <c r="I13" s="140"/>
      <c r="J13" s="140"/>
      <c r="K13" s="141">
        <f>SUM(K14+K15+K16)</f>
        <v>2384000</v>
      </c>
    </row>
    <row r="14" spans="1:11" ht="12" customHeight="1">
      <c r="A14" s="133"/>
      <c r="B14" s="164"/>
      <c r="C14" s="142"/>
      <c r="D14" s="150"/>
      <c r="E14" s="150"/>
      <c r="F14" s="151"/>
      <c r="G14" s="151"/>
      <c r="H14" s="382" t="s">
        <v>663</v>
      </c>
      <c r="I14" s="383">
        <v>697000</v>
      </c>
      <c r="J14" s="383" t="s">
        <v>766</v>
      </c>
      <c r="K14" s="384">
        <f>SUM(I14*50%*4)</f>
        <v>1394000</v>
      </c>
    </row>
    <row r="15" spans="1:11" ht="12" customHeight="1">
      <c r="A15" s="133"/>
      <c r="B15" s="164"/>
      <c r="C15" s="142"/>
      <c r="D15" s="150"/>
      <c r="E15" s="150"/>
      <c r="F15" s="151"/>
      <c r="G15" s="151"/>
      <c r="H15" s="368" t="s">
        <v>761</v>
      </c>
      <c r="I15" s="155">
        <v>660000</v>
      </c>
      <c r="J15" s="155" t="s">
        <v>767</v>
      </c>
      <c r="K15" s="158">
        <f>SUM(I15*50%*3)</f>
        <v>990000</v>
      </c>
    </row>
    <row r="16" spans="1:11" ht="12" customHeight="1">
      <c r="A16" s="133"/>
      <c r="B16" s="164"/>
      <c r="C16" s="142"/>
      <c r="D16" s="150"/>
      <c r="E16" s="150"/>
      <c r="F16" s="151"/>
      <c r="G16" s="151"/>
      <c r="H16" s="179"/>
      <c r="I16" s="161"/>
      <c r="J16" s="161"/>
      <c r="K16" s="162"/>
    </row>
    <row r="17" spans="1:11" ht="12" customHeight="1">
      <c r="A17" s="133"/>
      <c r="B17" s="164"/>
      <c r="C17" s="142"/>
      <c r="D17" s="150"/>
      <c r="E17" s="150"/>
      <c r="F17" s="151"/>
      <c r="G17" s="151"/>
      <c r="H17" s="149" t="s">
        <v>639</v>
      </c>
      <c r="I17" s="140"/>
      <c r="J17" s="140"/>
      <c r="K17" s="141">
        <f>SUM(K18+K19)</f>
        <v>2714000</v>
      </c>
    </row>
    <row r="18" spans="1:11" ht="12" customHeight="1">
      <c r="A18" s="133"/>
      <c r="B18" s="164"/>
      <c r="C18" s="142"/>
      <c r="D18" s="150"/>
      <c r="E18" s="150"/>
      <c r="F18" s="151"/>
      <c r="G18" s="151"/>
      <c r="H18" s="382" t="s">
        <v>663</v>
      </c>
      <c r="I18" s="383">
        <v>697000</v>
      </c>
      <c r="J18" s="383" t="s">
        <v>766</v>
      </c>
      <c r="K18" s="384">
        <f>SUM(I18*50%*4)</f>
        <v>1394000</v>
      </c>
    </row>
    <row r="19" spans="1:11" ht="12" customHeight="1">
      <c r="A19" s="133"/>
      <c r="B19" s="164"/>
      <c r="C19" s="142"/>
      <c r="D19" s="150"/>
      <c r="E19" s="150"/>
      <c r="F19" s="151"/>
      <c r="G19" s="151"/>
      <c r="H19" s="179" t="s">
        <v>761</v>
      </c>
      <c r="I19" s="161">
        <v>660000</v>
      </c>
      <c r="J19" s="161" t="s">
        <v>766</v>
      </c>
      <c r="K19" s="162">
        <f>SUM(I19*50%*4)</f>
        <v>1320000</v>
      </c>
    </row>
    <row r="20" spans="1:11" ht="12" customHeight="1">
      <c r="A20" s="154"/>
      <c r="B20" s="195"/>
      <c r="C20" s="146"/>
      <c r="D20" s="143"/>
      <c r="E20" s="171"/>
      <c r="F20" s="156"/>
      <c r="G20" s="157"/>
      <c r="H20" s="179" t="s">
        <v>496</v>
      </c>
      <c r="I20" s="161"/>
      <c r="J20" s="155"/>
      <c r="K20" s="162">
        <f>SUM(K21+K22)</f>
        <v>1166400</v>
      </c>
    </row>
    <row r="21" spans="1:11" ht="12" customHeight="1">
      <c r="A21" s="133"/>
      <c r="B21" s="164"/>
      <c r="C21" s="142"/>
      <c r="D21" s="143"/>
      <c r="E21" s="143"/>
      <c r="F21" s="143"/>
      <c r="G21" s="143"/>
      <c r="H21" s="382" t="s">
        <v>663</v>
      </c>
      <c r="I21" s="383">
        <v>697000</v>
      </c>
      <c r="J21" s="383" t="s">
        <v>768</v>
      </c>
      <c r="K21" s="384">
        <f>SUM(I21*60%*2)</f>
        <v>836400</v>
      </c>
    </row>
    <row r="22" spans="1:11" ht="12" customHeight="1">
      <c r="A22" s="133"/>
      <c r="B22" s="164"/>
      <c r="C22" s="159"/>
      <c r="D22" s="145"/>
      <c r="E22" s="145"/>
      <c r="F22" s="182"/>
      <c r="G22" s="122"/>
      <c r="H22" s="179" t="s">
        <v>761</v>
      </c>
      <c r="I22" s="161">
        <v>660000</v>
      </c>
      <c r="J22" s="155" t="s">
        <v>769</v>
      </c>
      <c r="K22" s="162">
        <f>SUM(I22*50%)</f>
        <v>330000</v>
      </c>
    </row>
    <row r="23" spans="1:11" ht="12" customHeight="1">
      <c r="A23" s="133"/>
      <c r="B23" s="164"/>
      <c r="C23" s="159" t="s">
        <v>25</v>
      </c>
      <c r="D23" s="145">
        <v>7200</v>
      </c>
      <c r="E23" s="145">
        <v>0</v>
      </c>
      <c r="F23" s="182">
        <v>0</v>
      </c>
      <c r="G23" s="122">
        <v>0</v>
      </c>
      <c r="H23" s="149"/>
      <c r="I23" s="140"/>
      <c r="J23" s="140"/>
      <c r="K23" s="141">
        <f>SUM(I23*12)</f>
        <v>0</v>
      </c>
    </row>
    <row r="24" spans="1:11" ht="12" customHeight="1">
      <c r="A24" s="133"/>
      <c r="B24" s="134"/>
      <c r="C24" s="146" t="s">
        <v>62</v>
      </c>
      <c r="D24" s="137">
        <v>3277</v>
      </c>
      <c r="E24" s="137">
        <v>2857</v>
      </c>
      <c r="F24" s="156">
        <f>E24-D24</f>
        <v>-420</v>
      </c>
      <c r="G24" s="157">
        <f>F24*100/D24</f>
        <v>-12.81660054928288</v>
      </c>
      <c r="H24" s="179" t="s">
        <v>51</v>
      </c>
      <c r="I24" s="161"/>
      <c r="J24" s="155"/>
      <c r="K24" s="162">
        <f>SUM(K25+K26+K27+K28+K29+K30)</f>
        <v>2857000</v>
      </c>
    </row>
    <row r="25" spans="1:11" ht="12" customHeight="1">
      <c r="A25" s="133"/>
      <c r="B25" s="134"/>
      <c r="C25" s="142"/>
      <c r="D25" s="143"/>
      <c r="E25" s="143"/>
      <c r="F25" s="143"/>
      <c r="G25" s="143"/>
      <c r="H25" s="382" t="s">
        <v>770</v>
      </c>
      <c r="I25" s="383">
        <v>30000</v>
      </c>
      <c r="J25" s="383" t="s">
        <v>53</v>
      </c>
      <c r="K25" s="384">
        <f>SUM(I25*12)</f>
        <v>360000</v>
      </c>
    </row>
    <row r="26" spans="1:11" ht="12" customHeight="1">
      <c r="A26" s="133"/>
      <c r="B26" s="134"/>
      <c r="C26" s="142"/>
      <c r="D26" s="143"/>
      <c r="E26" s="143"/>
      <c r="F26" s="143"/>
      <c r="G26" s="143"/>
      <c r="H26" s="368" t="s">
        <v>771</v>
      </c>
      <c r="I26" s="155">
        <v>30000</v>
      </c>
      <c r="J26" s="155" t="s">
        <v>762</v>
      </c>
      <c r="K26" s="158">
        <f>SUM(I26*9)</f>
        <v>270000</v>
      </c>
    </row>
    <row r="27" spans="1:11" ht="12" customHeight="1">
      <c r="A27" s="133"/>
      <c r="B27" s="134"/>
      <c r="C27" s="142"/>
      <c r="D27" s="143"/>
      <c r="E27" s="143"/>
      <c r="F27" s="143"/>
      <c r="G27" s="143"/>
      <c r="H27" s="368" t="s">
        <v>772</v>
      </c>
      <c r="I27" s="155">
        <v>697000</v>
      </c>
      <c r="J27" s="155" t="s">
        <v>769</v>
      </c>
      <c r="K27" s="158">
        <f>SUM(I27*50%*2)</f>
        <v>697000</v>
      </c>
    </row>
    <row r="28" spans="1:11" ht="12" customHeight="1">
      <c r="A28" s="133"/>
      <c r="B28" s="134"/>
      <c r="C28" s="142"/>
      <c r="D28" s="143"/>
      <c r="E28" s="143"/>
      <c r="F28" s="143"/>
      <c r="G28" s="143"/>
      <c r="H28" s="368" t="s">
        <v>773</v>
      </c>
      <c r="I28" s="155">
        <v>660000</v>
      </c>
      <c r="J28" s="155" t="s">
        <v>54</v>
      </c>
      <c r="K28" s="158">
        <f>SUM(I28*50%)</f>
        <v>330000</v>
      </c>
    </row>
    <row r="29" spans="1:11" ht="12" customHeight="1">
      <c r="A29" s="133"/>
      <c r="B29" s="134"/>
      <c r="C29" s="142"/>
      <c r="D29" s="143"/>
      <c r="E29" s="143"/>
      <c r="F29" s="143"/>
      <c r="G29" s="143"/>
      <c r="H29" s="368" t="s">
        <v>774</v>
      </c>
      <c r="I29" s="155">
        <v>50000</v>
      </c>
      <c r="J29" s="155" t="s">
        <v>53</v>
      </c>
      <c r="K29" s="158">
        <f>SUM(I29*12)</f>
        <v>600000</v>
      </c>
    </row>
    <row r="30" spans="1:11" ht="12" customHeight="1">
      <c r="A30" s="133"/>
      <c r="B30" s="134"/>
      <c r="C30" s="142"/>
      <c r="D30" s="143"/>
      <c r="E30" s="143"/>
      <c r="F30" s="143"/>
      <c r="G30" s="143"/>
      <c r="H30" s="179" t="s">
        <v>775</v>
      </c>
      <c r="I30" s="161">
        <v>50000</v>
      </c>
      <c r="J30" s="161" t="s">
        <v>53</v>
      </c>
      <c r="K30" s="162">
        <f>SUM(I30*12)</f>
        <v>600000</v>
      </c>
    </row>
    <row r="31" spans="1:11" ht="12" customHeight="1">
      <c r="A31" s="133"/>
      <c r="B31" s="134"/>
      <c r="C31" s="176" t="s">
        <v>1090</v>
      </c>
      <c r="D31" s="177">
        <v>2587</v>
      </c>
      <c r="E31" s="177">
        <v>2660</v>
      </c>
      <c r="F31" s="128">
        <f>E31-D31</f>
        <v>73</v>
      </c>
      <c r="G31" s="129">
        <f>F31*100/D31</f>
        <v>2.821801314263626</v>
      </c>
      <c r="H31" s="368" t="s">
        <v>65</v>
      </c>
      <c r="I31" s="155">
        <v>31915400</v>
      </c>
      <c r="J31" s="155" t="s">
        <v>63</v>
      </c>
      <c r="K31" s="158">
        <f>SUM(I31*1/12)</f>
        <v>2659616.6666666665</v>
      </c>
    </row>
    <row r="32" spans="1:11" ht="12" customHeight="1">
      <c r="A32" s="133"/>
      <c r="B32" s="134"/>
      <c r="C32" s="146" t="s">
        <v>72</v>
      </c>
      <c r="D32" s="143">
        <v>4235</v>
      </c>
      <c r="E32" s="143">
        <v>2518</v>
      </c>
      <c r="F32" s="156">
        <f>E32-D32</f>
        <v>-1717</v>
      </c>
      <c r="G32" s="157">
        <f>F32*100/D32</f>
        <v>-40.543093270366</v>
      </c>
      <c r="H32" s="149" t="s">
        <v>66</v>
      </c>
      <c r="I32" s="140"/>
      <c r="J32" s="140"/>
      <c r="K32" s="141">
        <f>SUM(K33+K34+K35+K36)</f>
        <v>2518125.0599999996</v>
      </c>
    </row>
    <row r="33" spans="1:11" ht="12" customHeight="1">
      <c r="A33" s="133"/>
      <c r="B33" s="134"/>
      <c r="C33" s="146"/>
      <c r="D33" s="143"/>
      <c r="E33" s="143"/>
      <c r="F33" s="163"/>
      <c r="G33" s="163"/>
      <c r="H33" s="382" t="s">
        <v>64</v>
      </c>
      <c r="I33" s="383">
        <v>31915400</v>
      </c>
      <c r="J33" s="383" t="s">
        <v>777</v>
      </c>
      <c r="K33" s="384">
        <f>SUM(I33*2.24%)</f>
        <v>714904.9600000001</v>
      </c>
    </row>
    <row r="34" spans="1:11" ht="12" customHeight="1">
      <c r="A34" s="133"/>
      <c r="B34" s="134"/>
      <c r="C34" s="146"/>
      <c r="D34" s="143"/>
      <c r="E34" s="143"/>
      <c r="F34" s="163"/>
      <c r="G34" s="163"/>
      <c r="H34" s="368" t="s">
        <v>502</v>
      </c>
      <c r="I34" s="155">
        <v>31915400</v>
      </c>
      <c r="J34" s="155" t="s">
        <v>224</v>
      </c>
      <c r="K34" s="158">
        <f>SUM(I34*4.5%)</f>
        <v>1436193</v>
      </c>
    </row>
    <row r="35" spans="1:11" ht="12" customHeight="1">
      <c r="A35" s="133"/>
      <c r="B35" s="134"/>
      <c r="C35" s="146"/>
      <c r="D35" s="143"/>
      <c r="E35" s="143"/>
      <c r="F35" s="163"/>
      <c r="G35" s="163"/>
      <c r="H35" s="368" t="s">
        <v>503</v>
      </c>
      <c r="I35" s="155">
        <v>31915400</v>
      </c>
      <c r="J35" s="155" t="s">
        <v>640</v>
      </c>
      <c r="K35" s="158">
        <f>SUM(I35*0.7%)</f>
        <v>223407.8</v>
      </c>
    </row>
    <row r="36" spans="1:11" ht="12" customHeight="1">
      <c r="A36" s="133"/>
      <c r="B36" s="134"/>
      <c r="C36" s="159"/>
      <c r="D36" s="145"/>
      <c r="E36" s="145"/>
      <c r="F36" s="160"/>
      <c r="G36" s="160"/>
      <c r="H36" s="179" t="s">
        <v>220</v>
      </c>
      <c r="I36" s="161">
        <v>31915400</v>
      </c>
      <c r="J36" s="161" t="s">
        <v>781</v>
      </c>
      <c r="K36" s="162">
        <f>SUM(I36*0.45%)</f>
        <v>143619.30000000002</v>
      </c>
    </row>
    <row r="37" spans="1:11" ht="12" customHeight="1">
      <c r="A37" s="133"/>
      <c r="B37" s="134"/>
      <c r="C37" s="146" t="s">
        <v>73</v>
      </c>
      <c r="D37" s="143">
        <v>2160</v>
      </c>
      <c r="E37" s="143">
        <v>1890</v>
      </c>
      <c r="F37" s="156">
        <f>E37-D37</f>
        <v>-270</v>
      </c>
      <c r="G37" s="157">
        <f>F37*100/D37</f>
        <v>-12.5</v>
      </c>
      <c r="H37" s="149" t="s">
        <v>504</v>
      </c>
      <c r="I37" s="140"/>
      <c r="J37" s="140"/>
      <c r="K37" s="141">
        <f>SUM(K38+K39)</f>
        <v>1890000</v>
      </c>
    </row>
    <row r="38" spans="1:11" ht="12" customHeight="1">
      <c r="A38" s="133"/>
      <c r="B38" s="134"/>
      <c r="C38" s="146"/>
      <c r="D38" s="143"/>
      <c r="E38" s="143"/>
      <c r="F38" s="163"/>
      <c r="G38" s="163"/>
      <c r="H38" s="382" t="s">
        <v>641</v>
      </c>
      <c r="I38" s="383">
        <v>90000</v>
      </c>
      <c r="J38" s="383" t="s">
        <v>60</v>
      </c>
      <c r="K38" s="384">
        <f>SUM(I38*1*12)</f>
        <v>1080000</v>
      </c>
    </row>
    <row r="39" spans="1:11" ht="12" customHeight="1">
      <c r="A39" s="133"/>
      <c r="B39" s="134"/>
      <c r="C39" s="159"/>
      <c r="D39" s="145"/>
      <c r="E39" s="145"/>
      <c r="F39" s="160"/>
      <c r="G39" s="160"/>
      <c r="H39" s="179" t="s">
        <v>642</v>
      </c>
      <c r="I39" s="161">
        <v>90000</v>
      </c>
      <c r="J39" s="161" t="s">
        <v>776</v>
      </c>
      <c r="K39" s="162">
        <f>SUM(I39*1*9)</f>
        <v>810000</v>
      </c>
    </row>
    <row r="40" spans="1:11" ht="15.75" customHeight="1" thickBot="1">
      <c r="A40" s="152"/>
      <c r="B40" s="153"/>
      <c r="C40" s="165" t="s">
        <v>74</v>
      </c>
      <c r="D40" s="166">
        <v>3600</v>
      </c>
      <c r="E40" s="166">
        <v>3600</v>
      </c>
      <c r="F40" s="167">
        <f>E40-D40</f>
        <v>0</v>
      </c>
      <c r="G40" s="168">
        <f>F40*100/D40</f>
        <v>0</v>
      </c>
      <c r="H40" s="369" t="s">
        <v>67</v>
      </c>
      <c r="I40" s="169">
        <v>100000</v>
      </c>
      <c r="J40" s="169" t="s">
        <v>778</v>
      </c>
      <c r="K40" s="173">
        <f>SUM(I40*3*12)</f>
        <v>3600000</v>
      </c>
    </row>
    <row r="41" spans="1:11" ht="13.5" customHeight="1">
      <c r="A41" s="628" t="s">
        <v>5</v>
      </c>
      <c r="B41" s="639" t="s">
        <v>6</v>
      </c>
      <c r="C41" s="630" t="s">
        <v>7</v>
      </c>
      <c r="D41" s="630" t="s">
        <v>1080</v>
      </c>
      <c r="E41" s="630" t="s">
        <v>1081</v>
      </c>
      <c r="F41" s="632" t="s">
        <v>42</v>
      </c>
      <c r="G41" s="635"/>
      <c r="H41" s="613" t="s">
        <v>43</v>
      </c>
      <c r="I41" s="614"/>
      <c r="J41" s="614"/>
      <c r="K41" s="615"/>
    </row>
    <row r="42" spans="1:11" ht="13.5" customHeight="1" thickBot="1">
      <c r="A42" s="638"/>
      <c r="B42" s="640"/>
      <c r="C42" s="634"/>
      <c r="D42" s="634"/>
      <c r="E42" s="634"/>
      <c r="F42" s="530" t="s">
        <v>9</v>
      </c>
      <c r="G42" s="525" t="s">
        <v>44</v>
      </c>
      <c r="H42" s="616"/>
      <c r="I42" s="617"/>
      <c r="J42" s="617"/>
      <c r="K42" s="618"/>
    </row>
    <row r="43" spans="1:11" ht="20.25" customHeight="1">
      <c r="A43" s="203" t="s">
        <v>45</v>
      </c>
      <c r="B43" s="426" t="s">
        <v>643</v>
      </c>
      <c r="C43" s="178" t="s">
        <v>13</v>
      </c>
      <c r="D43" s="279">
        <f>SUM(D44+D45+D46+D50+D55)</f>
        <v>8096</v>
      </c>
      <c r="E43" s="120">
        <f>SUM(E44:E55)</f>
        <v>9380</v>
      </c>
      <c r="F43" s="219">
        <f>E43-D43</f>
        <v>1284</v>
      </c>
      <c r="G43" s="220">
        <f>F43*100/D43</f>
        <v>15.859683794466402</v>
      </c>
      <c r="H43" s="221"/>
      <c r="I43" s="281"/>
      <c r="J43" s="281"/>
      <c r="K43" s="125">
        <f>SUM(K44:K55)</f>
        <v>9379600</v>
      </c>
    </row>
    <row r="44" spans="1:11" ht="13.5" customHeight="1">
      <c r="A44" s="100"/>
      <c r="B44" s="170"/>
      <c r="C44" s="176" t="s">
        <v>17</v>
      </c>
      <c r="D44" s="177">
        <v>200</v>
      </c>
      <c r="E44" s="177">
        <v>200</v>
      </c>
      <c r="F44" s="128">
        <f>E44-D44</f>
        <v>0</v>
      </c>
      <c r="G44" s="129">
        <v>0</v>
      </c>
      <c r="H44" s="149" t="s">
        <v>95</v>
      </c>
      <c r="I44" s="140">
        <v>20000</v>
      </c>
      <c r="J44" s="140" t="s">
        <v>98</v>
      </c>
      <c r="K44" s="141">
        <f>SUM(I44*10)</f>
        <v>200000</v>
      </c>
    </row>
    <row r="45" spans="1:11" ht="13.5" customHeight="1">
      <c r="A45" s="100"/>
      <c r="B45" s="170"/>
      <c r="C45" s="176" t="s">
        <v>26</v>
      </c>
      <c r="D45" s="177">
        <v>816</v>
      </c>
      <c r="E45" s="177">
        <v>1200</v>
      </c>
      <c r="F45" s="128">
        <f>E45-D45</f>
        <v>384</v>
      </c>
      <c r="G45" s="139">
        <f>F45*100/D45</f>
        <v>47.05882352941177</v>
      </c>
      <c r="H45" s="242" t="s">
        <v>511</v>
      </c>
      <c r="I45" s="140">
        <v>100000</v>
      </c>
      <c r="J45" s="140" t="s">
        <v>53</v>
      </c>
      <c r="K45" s="141">
        <f>SUM(I45*12)</f>
        <v>1200000</v>
      </c>
    </row>
    <row r="46" spans="1:11" ht="13.5" customHeight="1">
      <c r="A46" s="100"/>
      <c r="B46" s="170"/>
      <c r="C46" s="146" t="s">
        <v>19</v>
      </c>
      <c r="D46" s="147">
        <v>2720</v>
      </c>
      <c r="E46" s="147">
        <v>3620</v>
      </c>
      <c r="F46" s="156">
        <f>E46-D46</f>
        <v>900</v>
      </c>
      <c r="G46" s="139">
        <f>F46*100/D46</f>
        <v>33.088235294117645</v>
      </c>
      <c r="H46" s="340" t="s">
        <v>644</v>
      </c>
      <c r="I46" s="383">
        <v>6600</v>
      </c>
      <c r="J46" s="383" t="s">
        <v>645</v>
      </c>
      <c r="K46" s="384">
        <f>SUM(I46*12)</f>
        <v>79200</v>
      </c>
    </row>
    <row r="47" spans="1:11" ht="13.5" customHeight="1">
      <c r="A47" s="100"/>
      <c r="B47" s="170"/>
      <c r="C47" s="146"/>
      <c r="D47" s="143"/>
      <c r="E47" s="143"/>
      <c r="F47" s="163"/>
      <c r="G47" s="163"/>
      <c r="H47" s="333" t="s">
        <v>104</v>
      </c>
      <c r="I47" s="155">
        <v>250000</v>
      </c>
      <c r="J47" s="155" t="s">
        <v>646</v>
      </c>
      <c r="K47" s="158">
        <f>SUM(I47*6)</f>
        <v>1500000</v>
      </c>
    </row>
    <row r="48" spans="1:11" ht="13.5" customHeight="1">
      <c r="A48" s="100"/>
      <c r="B48" s="170"/>
      <c r="C48" s="146"/>
      <c r="D48" s="143"/>
      <c r="E48" s="143"/>
      <c r="F48" s="163"/>
      <c r="G48" s="163"/>
      <c r="H48" s="368" t="s">
        <v>103</v>
      </c>
      <c r="I48" s="155">
        <v>20000</v>
      </c>
      <c r="J48" s="155" t="s">
        <v>53</v>
      </c>
      <c r="K48" s="158">
        <f>SUM(I48*12)</f>
        <v>240000</v>
      </c>
    </row>
    <row r="49" spans="1:11" ht="13.5" customHeight="1">
      <c r="A49" s="100"/>
      <c r="B49" s="170"/>
      <c r="C49" s="159"/>
      <c r="D49" s="145"/>
      <c r="E49" s="145"/>
      <c r="F49" s="163"/>
      <c r="G49" s="163"/>
      <c r="H49" s="194" t="s">
        <v>102</v>
      </c>
      <c r="I49" s="161">
        <v>150000</v>
      </c>
      <c r="J49" s="161" t="s">
        <v>53</v>
      </c>
      <c r="K49" s="162">
        <f>SUM(I49*12)</f>
        <v>1800000</v>
      </c>
    </row>
    <row r="50" spans="1:11" ht="13.5" customHeight="1">
      <c r="A50" s="100"/>
      <c r="B50" s="170"/>
      <c r="C50" s="146" t="s">
        <v>21</v>
      </c>
      <c r="D50" s="147">
        <v>1740</v>
      </c>
      <c r="E50" s="147">
        <v>1740</v>
      </c>
      <c r="F50" s="148">
        <f>E50-D50</f>
        <v>0</v>
      </c>
      <c r="G50" s="139">
        <f>F50*100/D50</f>
        <v>0</v>
      </c>
      <c r="H50" s="382" t="s">
        <v>520</v>
      </c>
      <c r="I50" s="383">
        <v>62000</v>
      </c>
      <c r="J50" s="383" t="s">
        <v>512</v>
      </c>
      <c r="K50" s="384">
        <f>SUM(I50*2)</f>
        <v>124000</v>
      </c>
    </row>
    <row r="51" spans="1:11" ht="13.5" customHeight="1">
      <c r="A51" s="100"/>
      <c r="B51" s="170"/>
      <c r="C51" s="146"/>
      <c r="D51" s="143"/>
      <c r="E51" s="143"/>
      <c r="F51" s="163"/>
      <c r="G51" s="163"/>
      <c r="H51" s="368" t="s">
        <v>610</v>
      </c>
      <c r="I51" s="155">
        <v>530000</v>
      </c>
      <c r="J51" s="155" t="s">
        <v>647</v>
      </c>
      <c r="K51" s="158">
        <f>SUM(I51*1)</f>
        <v>530000</v>
      </c>
    </row>
    <row r="52" spans="1:11" ht="13.5" customHeight="1">
      <c r="A52" s="100"/>
      <c r="B52" s="170"/>
      <c r="C52" s="146"/>
      <c r="D52" s="143"/>
      <c r="E52" s="143"/>
      <c r="F52" s="163"/>
      <c r="G52" s="163"/>
      <c r="H52" s="368" t="s">
        <v>112</v>
      </c>
      <c r="I52" s="155">
        <v>45000</v>
      </c>
      <c r="J52" s="155" t="s">
        <v>512</v>
      </c>
      <c r="K52" s="158">
        <f>SUM(I52*2)</f>
        <v>90000</v>
      </c>
    </row>
    <row r="53" spans="1:11" ht="13.5" customHeight="1">
      <c r="A53" s="100"/>
      <c r="B53" s="170"/>
      <c r="C53" s="146"/>
      <c r="D53" s="143"/>
      <c r="E53" s="143"/>
      <c r="F53" s="163"/>
      <c r="G53" s="163"/>
      <c r="H53" s="368" t="s">
        <v>521</v>
      </c>
      <c r="I53" s="155">
        <v>49700</v>
      </c>
      <c r="J53" s="155" t="s">
        <v>166</v>
      </c>
      <c r="K53" s="158">
        <f>SUM(I53*12)</f>
        <v>596400</v>
      </c>
    </row>
    <row r="54" spans="1:11" ht="13.5" customHeight="1">
      <c r="A54" s="100"/>
      <c r="B54" s="170"/>
      <c r="C54" s="159"/>
      <c r="D54" s="145"/>
      <c r="E54" s="145"/>
      <c r="F54" s="160"/>
      <c r="G54" s="160"/>
      <c r="H54" s="180" t="s">
        <v>262</v>
      </c>
      <c r="I54" s="161">
        <v>100000</v>
      </c>
      <c r="J54" s="161" t="s">
        <v>101</v>
      </c>
      <c r="K54" s="162">
        <f>SUM(I54*4)</f>
        <v>400000</v>
      </c>
    </row>
    <row r="55" spans="1:11" ht="13.5" customHeight="1">
      <c r="A55" s="394"/>
      <c r="B55" s="395"/>
      <c r="C55" s="159" t="s">
        <v>277</v>
      </c>
      <c r="D55" s="177">
        <v>2620</v>
      </c>
      <c r="E55" s="177">
        <v>2620</v>
      </c>
      <c r="F55" s="128">
        <f>E55-D55</f>
        <v>0</v>
      </c>
      <c r="G55" s="129">
        <f>F55*100/D55</f>
        <v>0</v>
      </c>
      <c r="H55" s="242" t="s">
        <v>648</v>
      </c>
      <c r="I55" s="140">
        <v>262000</v>
      </c>
      <c r="J55" s="140" t="s">
        <v>98</v>
      </c>
      <c r="K55" s="162">
        <f>SUM(I55*10)</f>
        <v>2620000</v>
      </c>
    </row>
    <row r="56" spans="1:11" ht="15.75" customHeight="1">
      <c r="A56" s="356" t="s">
        <v>523</v>
      </c>
      <c r="B56" s="205" t="s">
        <v>27</v>
      </c>
      <c r="C56" s="178" t="s">
        <v>13</v>
      </c>
      <c r="D56" s="181">
        <f>SUM(D57+D58+D59)</f>
        <v>1500</v>
      </c>
      <c r="E56" s="181">
        <f>SUM(E57+E58+E59)</f>
        <v>1500</v>
      </c>
      <c r="F56" s="182">
        <f aca="true" t="shared" si="0" ref="F56:F65">E56-D56</f>
        <v>0</v>
      </c>
      <c r="G56" s="122">
        <f>F56*100/D56</f>
        <v>0</v>
      </c>
      <c r="H56" s="123"/>
      <c r="I56" s="183"/>
      <c r="J56" s="183"/>
      <c r="K56" s="162">
        <f>SUM(K57+K58+K59)</f>
        <v>1500000</v>
      </c>
    </row>
    <row r="57" spans="1:11" ht="13.5" customHeight="1">
      <c r="A57" s="356" t="s">
        <v>113</v>
      </c>
      <c r="B57" s="170"/>
      <c r="C57" s="176" t="s">
        <v>28</v>
      </c>
      <c r="D57" s="177">
        <v>0</v>
      </c>
      <c r="E57" s="177">
        <v>0</v>
      </c>
      <c r="F57" s="128">
        <f t="shared" si="0"/>
        <v>0</v>
      </c>
      <c r="G57" s="129">
        <v>0</v>
      </c>
      <c r="H57" s="149"/>
      <c r="I57" s="140"/>
      <c r="J57" s="140"/>
      <c r="K57" s="141"/>
    </row>
    <row r="58" spans="1:11" ht="13.5" customHeight="1">
      <c r="A58" s="356"/>
      <c r="B58" s="170"/>
      <c r="C58" s="176" t="s">
        <v>29</v>
      </c>
      <c r="D58" s="177">
        <v>1500</v>
      </c>
      <c r="E58" s="177">
        <v>1500</v>
      </c>
      <c r="F58" s="128">
        <f t="shared" si="0"/>
        <v>0</v>
      </c>
      <c r="G58" s="129">
        <v>0</v>
      </c>
      <c r="H58" s="149" t="s">
        <v>115</v>
      </c>
      <c r="I58" s="140"/>
      <c r="J58" s="140"/>
      <c r="K58" s="141">
        <v>1500000</v>
      </c>
    </row>
    <row r="59" spans="1:11" ht="13.5" customHeight="1">
      <c r="A59" s="397"/>
      <c r="B59" s="395"/>
      <c r="C59" s="159" t="s">
        <v>30</v>
      </c>
      <c r="D59" s="177">
        <v>0</v>
      </c>
      <c r="E59" s="145">
        <v>0</v>
      </c>
      <c r="F59" s="128">
        <f t="shared" si="0"/>
        <v>0</v>
      </c>
      <c r="G59" s="129">
        <v>0</v>
      </c>
      <c r="H59" s="149"/>
      <c r="I59" s="161"/>
      <c r="J59" s="161"/>
      <c r="K59" s="162"/>
    </row>
    <row r="60" spans="1:11" ht="17.25" customHeight="1">
      <c r="A60" s="396" t="s">
        <v>117</v>
      </c>
      <c r="B60" s="623" t="s">
        <v>11</v>
      </c>
      <c r="C60" s="624"/>
      <c r="D60" s="120">
        <f>SUM(D61+D64+D172+D187+D191)</f>
        <v>7329</v>
      </c>
      <c r="E60" s="120">
        <f>SUM(E61+E64)</f>
        <v>7689</v>
      </c>
      <c r="F60" s="121">
        <f t="shared" si="0"/>
        <v>360</v>
      </c>
      <c r="G60" s="122">
        <f aca="true" t="shared" si="1" ref="G60:G65">F60*100/D60</f>
        <v>4.911993450675399</v>
      </c>
      <c r="H60" s="123"/>
      <c r="I60" s="222"/>
      <c r="J60" s="222"/>
      <c r="K60" s="125">
        <f>SUM(K61+K64)</f>
        <v>7689000</v>
      </c>
    </row>
    <row r="61" spans="1:11" ht="16.5" customHeight="1">
      <c r="A61" s="126"/>
      <c r="B61" s="175" t="s">
        <v>525</v>
      </c>
      <c r="C61" s="127" t="s">
        <v>13</v>
      </c>
      <c r="D61" s="193">
        <f>SUM(D62:D63)</f>
        <v>4320</v>
      </c>
      <c r="E61" s="185">
        <f>SUM(E62:E63)</f>
        <v>4320</v>
      </c>
      <c r="F61" s="186">
        <f t="shared" si="0"/>
        <v>0</v>
      </c>
      <c r="G61" s="129">
        <f t="shared" si="1"/>
        <v>0</v>
      </c>
      <c r="H61" s="187"/>
      <c r="I61" s="229"/>
      <c r="J61" s="281"/>
      <c r="K61" s="132">
        <f>SUM(K62:K63)</f>
        <v>4320000</v>
      </c>
    </row>
    <row r="62" spans="1:11" ht="18" customHeight="1">
      <c r="A62" s="133"/>
      <c r="B62" s="393"/>
      <c r="C62" s="176" t="s">
        <v>649</v>
      </c>
      <c r="D62" s="177">
        <v>2160</v>
      </c>
      <c r="E62" s="120">
        <v>2160</v>
      </c>
      <c r="F62" s="188">
        <f>E62-D62</f>
        <v>0</v>
      </c>
      <c r="G62" s="189">
        <f t="shared" si="1"/>
        <v>0</v>
      </c>
      <c r="H62" s="149" t="s">
        <v>650</v>
      </c>
      <c r="I62" s="193">
        <v>180000</v>
      </c>
      <c r="J62" s="193" t="s">
        <v>676</v>
      </c>
      <c r="K62" s="132">
        <f>SUM(I62*12)</f>
        <v>2160000</v>
      </c>
    </row>
    <row r="63" spans="1:11" ht="13.5" customHeight="1">
      <c r="A63" s="133"/>
      <c r="B63" s="134"/>
      <c r="C63" s="176" t="s">
        <v>784</v>
      </c>
      <c r="D63" s="177">
        <v>2160</v>
      </c>
      <c r="E63" s="120">
        <v>2160</v>
      </c>
      <c r="F63" s="188">
        <f t="shared" si="0"/>
        <v>0</v>
      </c>
      <c r="G63" s="189">
        <f t="shared" si="1"/>
        <v>0</v>
      </c>
      <c r="H63" s="149" t="s">
        <v>783</v>
      </c>
      <c r="I63" s="193">
        <v>180000</v>
      </c>
      <c r="J63" s="193" t="s">
        <v>676</v>
      </c>
      <c r="K63" s="132">
        <f>SUM(I63*12)</f>
        <v>2160000</v>
      </c>
    </row>
    <row r="64" spans="1:11" ht="15.75" customHeight="1">
      <c r="A64" s="190"/>
      <c r="B64" s="191" t="s">
        <v>22</v>
      </c>
      <c r="C64" s="360" t="s">
        <v>13</v>
      </c>
      <c r="D64" s="294">
        <f>SUM(D65:D76)</f>
        <v>3009</v>
      </c>
      <c r="E64" s="294">
        <f>SUM(E65:E75)</f>
        <v>3369</v>
      </c>
      <c r="F64" s="197">
        <f t="shared" si="0"/>
        <v>360</v>
      </c>
      <c r="G64" s="139">
        <f t="shared" si="1"/>
        <v>11.964107676969093</v>
      </c>
      <c r="H64" s="130"/>
      <c r="I64" s="350"/>
      <c r="J64" s="350"/>
      <c r="K64" s="132">
        <f>SUM(K65:K75)</f>
        <v>3369000</v>
      </c>
    </row>
    <row r="65" spans="1:11" ht="13.5" customHeight="1">
      <c r="A65" s="133"/>
      <c r="B65" s="207"/>
      <c r="C65" s="135" t="s">
        <v>651</v>
      </c>
      <c r="D65" s="136">
        <v>3009</v>
      </c>
      <c r="E65" s="232">
        <v>3369</v>
      </c>
      <c r="F65" s="148">
        <f t="shared" si="0"/>
        <v>360</v>
      </c>
      <c r="G65" s="139">
        <f t="shared" si="1"/>
        <v>11.964107676969093</v>
      </c>
      <c r="H65" s="382" t="s">
        <v>652</v>
      </c>
      <c r="I65" s="341">
        <v>100000</v>
      </c>
      <c r="J65" s="341" t="s">
        <v>676</v>
      </c>
      <c r="K65" s="309">
        <f>SUM(I65*12)</f>
        <v>1200000</v>
      </c>
    </row>
    <row r="66" spans="1:11" ht="13.5" customHeight="1">
      <c r="A66" s="133"/>
      <c r="B66" s="207"/>
      <c r="C66" s="146"/>
      <c r="D66" s="143"/>
      <c r="E66" s="143"/>
      <c r="F66" s="156"/>
      <c r="G66" s="157"/>
      <c r="H66" s="381" t="s">
        <v>653</v>
      </c>
      <c r="I66" s="249">
        <v>20000</v>
      </c>
      <c r="J66" s="249" t="s">
        <v>676</v>
      </c>
      <c r="K66" s="254">
        <f>SUM(I66*12)</f>
        <v>240000</v>
      </c>
    </row>
    <row r="67" spans="1:11" ht="13.5" customHeight="1">
      <c r="A67" s="133"/>
      <c r="B67" s="207"/>
      <c r="C67" s="146"/>
      <c r="D67" s="143"/>
      <c r="E67" s="143"/>
      <c r="F67" s="156"/>
      <c r="G67" s="157"/>
      <c r="H67" s="368" t="s">
        <v>205</v>
      </c>
      <c r="I67" s="249">
        <v>80000</v>
      </c>
      <c r="J67" s="249" t="s">
        <v>677</v>
      </c>
      <c r="K67" s="254">
        <f>SUM(I67*10)</f>
        <v>800000</v>
      </c>
    </row>
    <row r="68" spans="1:11" ht="13.5" customHeight="1">
      <c r="A68" s="133"/>
      <c r="B68" s="207"/>
      <c r="C68" s="146"/>
      <c r="D68" s="143"/>
      <c r="E68" s="143"/>
      <c r="F68" s="156"/>
      <c r="G68" s="157"/>
      <c r="H68" s="368" t="s">
        <v>654</v>
      </c>
      <c r="I68" s="249">
        <v>100000</v>
      </c>
      <c r="J68" s="249"/>
      <c r="K68" s="254">
        <v>100000</v>
      </c>
    </row>
    <row r="69" spans="1:11" ht="13.5" customHeight="1">
      <c r="A69" s="133"/>
      <c r="B69" s="207"/>
      <c r="C69" s="146"/>
      <c r="D69" s="143"/>
      <c r="E69" s="171"/>
      <c r="F69" s="156"/>
      <c r="G69" s="157"/>
      <c r="H69" s="333" t="s">
        <v>655</v>
      </c>
      <c r="I69" s="249">
        <v>10000</v>
      </c>
      <c r="J69" s="249" t="s">
        <v>676</v>
      </c>
      <c r="K69" s="254">
        <f>SUM(I69*12)</f>
        <v>120000</v>
      </c>
    </row>
    <row r="70" spans="1:11" ht="13.5" customHeight="1">
      <c r="A70" s="133"/>
      <c r="B70" s="207"/>
      <c r="C70" s="146"/>
      <c r="D70" s="143"/>
      <c r="E70" s="143"/>
      <c r="F70" s="156"/>
      <c r="G70" s="157"/>
      <c r="H70" s="368" t="s">
        <v>656</v>
      </c>
      <c r="I70" s="249">
        <v>30000</v>
      </c>
      <c r="J70" s="249" t="s">
        <v>678</v>
      </c>
      <c r="K70" s="254">
        <f>SUM(I70*9)</f>
        <v>270000</v>
      </c>
    </row>
    <row r="71" spans="1:11" ht="13.5" customHeight="1">
      <c r="A71" s="133"/>
      <c r="B71" s="207"/>
      <c r="C71" s="146"/>
      <c r="D71" s="143"/>
      <c r="E71" s="143"/>
      <c r="F71" s="156"/>
      <c r="G71" s="157"/>
      <c r="H71" s="333" t="s">
        <v>657</v>
      </c>
      <c r="I71" s="249">
        <v>20000</v>
      </c>
      <c r="J71" s="249" t="s">
        <v>676</v>
      </c>
      <c r="K71" s="254">
        <f>SUM(I71*12)</f>
        <v>240000</v>
      </c>
    </row>
    <row r="72" spans="1:11" ht="13.5" customHeight="1">
      <c r="A72" s="133"/>
      <c r="B72" s="207"/>
      <c r="C72" s="146"/>
      <c r="D72" s="143"/>
      <c r="E72" s="143"/>
      <c r="F72" s="156"/>
      <c r="G72" s="157"/>
      <c r="H72" s="333" t="s">
        <v>658</v>
      </c>
      <c r="I72" s="249">
        <v>180000</v>
      </c>
      <c r="J72" s="249"/>
      <c r="K72" s="254">
        <v>180000</v>
      </c>
    </row>
    <row r="73" spans="1:11" ht="13.5" customHeight="1">
      <c r="A73" s="133"/>
      <c r="B73" s="207"/>
      <c r="C73" s="146"/>
      <c r="D73" s="143"/>
      <c r="E73" s="143"/>
      <c r="F73" s="156"/>
      <c r="G73" s="157"/>
      <c r="H73" s="333" t="s">
        <v>659</v>
      </c>
      <c r="I73" s="249">
        <v>10000</v>
      </c>
      <c r="J73" s="249" t="s">
        <v>679</v>
      </c>
      <c r="K73" s="254">
        <f>SUM(I73*4)</f>
        <v>40000</v>
      </c>
    </row>
    <row r="74" spans="1:11" ht="13.5" customHeight="1">
      <c r="A74" s="133"/>
      <c r="B74" s="207"/>
      <c r="C74" s="146"/>
      <c r="D74" s="143"/>
      <c r="E74" s="143"/>
      <c r="F74" s="156"/>
      <c r="G74" s="157"/>
      <c r="H74" s="368" t="s">
        <v>660</v>
      </c>
      <c r="I74" s="249">
        <v>30000</v>
      </c>
      <c r="J74" s="249" t="s">
        <v>680</v>
      </c>
      <c r="K74" s="254">
        <f>SUM(I74*2)</f>
        <v>60000</v>
      </c>
    </row>
    <row r="75" spans="1:11" ht="13.5" customHeight="1">
      <c r="A75" s="398"/>
      <c r="B75" s="399"/>
      <c r="C75" s="159"/>
      <c r="D75" s="145"/>
      <c r="E75" s="145"/>
      <c r="F75" s="182"/>
      <c r="G75" s="122"/>
      <c r="H75" s="179" t="s">
        <v>661</v>
      </c>
      <c r="I75" s="119"/>
      <c r="J75" s="119"/>
      <c r="K75" s="125">
        <v>119000</v>
      </c>
    </row>
    <row r="76" spans="1:11" ht="13.5" customHeight="1" thickBot="1">
      <c r="A76" s="359" t="s">
        <v>238</v>
      </c>
      <c r="B76" s="400" t="s">
        <v>665</v>
      </c>
      <c r="C76" s="198" t="s">
        <v>666</v>
      </c>
      <c r="D76" s="199">
        <v>0</v>
      </c>
      <c r="E76" s="199">
        <v>1474</v>
      </c>
      <c r="F76" s="202">
        <f>E76-D76</f>
        <v>1474</v>
      </c>
      <c r="G76" s="200">
        <v>0</v>
      </c>
      <c r="H76" s="210" t="s">
        <v>631</v>
      </c>
      <c r="I76" s="261"/>
      <c r="J76" s="261"/>
      <c r="K76" s="262">
        <v>1473836</v>
      </c>
    </row>
    <row r="77" spans="1:11" ht="27.75" customHeight="1">
      <c r="A77" s="590" t="s">
        <v>957</v>
      </c>
      <c r="B77" s="590"/>
      <c r="C77" s="590"/>
      <c r="D77" s="590"/>
      <c r="E77" s="590"/>
      <c r="F77" s="590"/>
      <c r="G77" s="590"/>
      <c r="H77" s="590"/>
      <c r="I77" s="590"/>
      <c r="J77" s="590"/>
      <c r="K77" s="590"/>
    </row>
    <row r="78" spans="1:11" ht="19.5" customHeight="1" thickBot="1">
      <c r="A78" s="603" t="s">
        <v>41</v>
      </c>
      <c r="B78" s="603"/>
      <c r="C78" s="603"/>
      <c r="D78" s="603"/>
      <c r="E78" s="603"/>
      <c r="F78" s="603"/>
      <c r="G78" s="603"/>
      <c r="H78" s="603"/>
      <c r="I78" s="603"/>
      <c r="J78" s="603"/>
      <c r="K78" s="603"/>
    </row>
    <row r="79" spans="1:11" ht="13.5">
      <c r="A79" s="628" t="s">
        <v>5</v>
      </c>
      <c r="B79" s="630" t="s">
        <v>6</v>
      </c>
      <c r="C79" s="630" t="s">
        <v>7</v>
      </c>
      <c r="D79" s="630" t="s">
        <v>1080</v>
      </c>
      <c r="E79" s="630" t="s">
        <v>1081</v>
      </c>
      <c r="F79" s="632" t="s">
        <v>42</v>
      </c>
      <c r="G79" s="633"/>
      <c r="H79" s="613" t="s">
        <v>43</v>
      </c>
      <c r="I79" s="614"/>
      <c r="J79" s="614"/>
      <c r="K79" s="615"/>
    </row>
    <row r="80" spans="1:11" ht="14.25" thickBot="1">
      <c r="A80" s="629"/>
      <c r="B80" s="631"/>
      <c r="C80" s="631"/>
      <c r="D80" s="631"/>
      <c r="E80" s="631"/>
      <c r="F80" s="153" t="s">
        <v>9</v>
      </c>
      <c r="G80" s="525" t="s">
        <v>44</v>
      </c>
      <c r="H80" s="616"/>
      <c r="I80" s="617"/>
      <c r="J80" s="617"/>
      <c r="K80" s="618"/>
    </row>
    <row r="81" spans="1:11" ht="22.5" customHeight="1">
      <c r="A81" s="625" t="s">
        <v>1088</v>
      </c>
      <c r="B81" s="626"/>
      <c r="C81" s="627"/>
      <c r="D81" s="184">
        <f>SUM(D82+D85+D96+D98+D101)</f>
        <v>63192</v>
      </c>
      <c r="E81" s="184">
        <f>SUM(E82+E85+E96+E98+E101)</f>
        <v>57736</v>
      </c>
      <c r="F81" s="526">
        <f aca="true" t="shared" si="2" ref="F81:F87">E81-D81</f>
        <v>-5456</v>
      </c>
      <c r="G81" s="527">
        <f aca="true" t="shared" si="3" ref="G81:G87">F81*100/D81</f>
        <v>-8.634004304342321</v>
      </c>
      <c r="H81" s="528"/>
      <c r="I81" s="529"/>
      <c r="J81" s="529"/>
      <c r="K81" s="524">
        <f>SUM(K82+K85+K96+K98+K101)</f>
        <v>57735579</v>
      </c>
    </row>
    <row r="82" spans="1:11" ht="17.25" customHeight="1">
      <c r="A82" s="361" t="s">
        <v>274</v>
      </c>
      <c r="B82" s="619" t="s">
        <v>11</v>
      </c>
      <c r="C82" s="620"/>
      <c r="D82" s="119">
        <f>SUM(D84:D84)</f>
        <v>21600</v>
      </c>
      <c r="E82" s="120">
        <f>SUM(E83+E116+E153+E189+E193+E220)</f>
        <v>19200</v>
      </c>
      <c r="F82" s="121">
        <f t="shared" si="2"/>
        <v>-2400</v>
      </c>
      <c r="G82" s="122">
        <f t="shared" si="3"/>
        <v>-11.11111111111111</v>
      </c>
      <c r="H82" s="357" t="s">
        <v>243</v>
      </c>
      <c r="I82" s="124"/>
      <c r="J82" s="124"/>
      <c r="K82" s="125">
        <f>SUM(K84:K84)</f>
        <v>19200000</v>
      </c>
    </row>
    <row r="83" spans="1:11" ht="22.5" customHeight="1">
      <c r="A83" s="362" t="s">
        <v>275</v>
      </c>
      <c r="B83" s="175" t="s">
        <v>452</v>
      </c>
      <c r="C83" s="127" t="s">
        <v>13</v>
      </c>
      <c r="D83" s="185">
        <f>SUM(D84:D84)</f>
        <v>21600</v>
      </c>
      <c r="E83" s="185">
        <f>SUM(E84:E84)</f>
        <v>19200</v>
      </c>
      <c r="F83" s="186">
        <f t="shared" si="2"/>
        <v>-2400</v>
      </c>
      <c r="G83" s="129">
        <f t="shared" si="3"/>
        <v>-11.11111111111111</v>
      </c>
      <c r="H83" s="358"/>
      <c r="I83" s="131"/>
      <c r="J83" s="131"/>
      <c r="K83" s="132">
        <f>SUM(K84:K84)</f>
        <v>19200000</v>
      </c>
    </row>
    <row r="84" spans="1:11" ht="22.5" customHeight="1">
      <c r="A84" s="398"/>
      <c r="B84" s="178"/>
      <c r="C84" s="176" t="s">
        <v>276</v>
      </c>
      <c r="D84" s="401">
        <v>21600</v>
      </c>
      <c r="E84" s="401">
        <v>19200</v>
      </c>
      <c r="F84" s="128">
        <f t="shared" si="2"/>
        <v>-2400</v>
      </c>
      <c r="G84" s="129">
        <f t="shared" si="3"/>
        <v>-11.11111111111111</v>
      </c>
      <c r="H84" s="149" t="s">
        <v>662</v>
      </c>
      <c r="I84" s="140">
        <v>200000</v>
      </c>
      <c r="J84" s="140" t="s">
        <v>782</v>
      </c>
      <c r="K84" s="132">
        <f>SUM(I84*8*12)</f>
        <v>19200000</v>
      </c>
    </row>
    <row r="85" spans="1:11" ht="16.5" customHeight="1">
      <c r="A85" s="248" t="s">
        <v>667</v>
      </c>
      <c r="B85" s="621" t="s">
        <v>668</v>
      </c>
      <c r="C85" s="622"/>
      <c r="D85" s="120">
        <f>SUM(D87+D90+D93)</f>
        <v>39668</v>
      </c>
      <c r="E85" s="120">
        <f>SUM(E86+E93)</f>
        <v>37668</v>
      </c>
      <c r="F85" s="219">
        <f t="shared" si="2"/>
        <v>-2000</v>
      </c>
      <c r="G85" s="220">
        <f t="shared" si="3"/>
        <v>-5.041847332862761</v>
      </c>
      <c r="H85" s="342" t="s">
        <v>669</v>
      </c>
      <c r="I85" s="222"/>
      <c r="J85" s="222"/>
      <c r="K85" s="125">
        <f>SUM(K86+K93)</f>
        <v>37668000</v>
      </c>
    </row>
    <row r="86" spans="1:11" ht="16.5" customHeight="1">
      <c r="A86" s="248" t="s">
        <v>670</v>
      </c>
      <c r="B86" s="201" t="s">
        <v>671</v>
      </c>
      <c r="C86" s="215" t="s">
        <v>672</v>
      </c>
      <c r="D86" s="185">
        <f>SUM(D87+D90+D93)</f>
        <v>39668</v>
      </c>
      <c r="E86" s="185">
        <f>SUM(E87+E90)</f>
        <v>37668</v>
      </c>
      <c r="F86" s="295">
        <f t="shared" si="2"/>
        <v>-2000</v>
      </c>
      <c r="G86" s="235">
        <f t="shared" si="3"/>
        <v>-5.041847332862761</v>
      </c>
      <c r="H86" s="228"/>
      <c r="I86" s="229"/>
      <c r="J86" s="229"/>
      <c r="K86" s="132">
        <f>SUM(K87+K90)</f>
        <v>37668000</v>
      </c>
    </row>
    <row r="87" spans="1:11" ht="13.5">
      <c r="A87" s="230"/>
      <c r="B87" s="255"/>
      <c r="C87" s="212" t="s">
        <v>1092</v>
      </c>
      <c r="D87" s="171">
        <v>34068</v>
      </c>
      <c r="E87" s="267">
        <v>34068</v>
      </c>
      <c r="F87" s="295">
        <f t="shared" si="2"/>
        <v>0</v>
      </c>
      <c r="G87" s="235">
        <f t="shared" si="3"/>
        <v>0</v>
      </c>
      <c r="H87" s="388"/>
      <c r="I87" s="341"/>
      <c r="J87" s="341"/>
      <c r="K87" s="309">
        <v>34068000</v>
      </c>
    </row>
    <row r="88" spans="1:11" ht="13.5">
      <c r="A88" s="230"/>
      <c r="B88" s="255"/>
      <c r="C88" s="208"/>
      <c r="D88" s="236"/>
      <c r="E88" s="267"/>
      <c r="F88" s="252"/>
      <c r="G88" s="253"/>
      <c r="H88" s="381" t="s">
        <v>780</v>
      </c>
      <c r="I88" s="249"/>
      <c r="J88" s="249"/>
      <c r="K88" s="254">
        <v>34068000</v>
      </c>
    </row>
    <row r="89" spans="1:11" ht="13.5">
      <c r="A89" s="230"/>
      <c r="B89" s="255"/>
      <c r="C89" s="238"/>
      <c r="D89" s="239"/>
      <c r="E89" s="120"/>
      <c r="F89" s="280"/>
      <c r="G89" s="220"/>
      <c r="H89" s="194"/>
      <c r="I89" s="119"/>
      <c r="J89" s="119"/>
      <c r="K89" s="125"/>
    </row>
    <row r="90" spans="1:11" ht="13.5">
      <c r="A90" s="230"/>
      <c r="B90" s="231"/>
      <c r="C90" s="212" t="s">
        <v>673</v>
      </c>
      <c r="D90" s="232">
        <v>3600</v>
      </c>
      <c r="E90" s="294">
        <v>3600</v>
      </c>
      <c r="F90" s="241">
        <f>E90-D90</f>
        <v>0</v>
      </c>
      <c r="G90" s="235">
        <f>F90*100/D90</f>
        <v>0</v>
      </c>
      <c r="H90" s="340"/>
      <c r="I90" s="341"/>
      <c r="J90" s="341"/>
      <c r="K90" s="309">
        <f>SUM(K91:K92)</f>
        <v>3600000</v>
      </c>
    </row>
    <row r="91" spans="1:11" ht="13.5">
      <c r="A91" s="230"/>
      <c r="B91" s="231"/>
      <c r="C91" s="208"/>
      <c r="D91" s="236"/>
      <c r="E91" s="267"/>
      <c r="F91" s="252"/>
      <c r="G91" s="253"/>
      <c r="H91" s="333" t="s">
        <v>779</v>
      </c>
      <c r="I91" s="249">
        <v>100000</v>
      </c>
      <c r="J91" s="249" t="s">
        <v>778</v>
      </c>
      <c r="K91" s="254">
        <f>SUM(I91*3*12)</f>
        <v>3600000</v>
      </c>
    </row>
    <row r="92" spans="1:11" ht="13.5">
      <c r="A92" s="230"/>
      <c r="B92" s="276"/>
      <c r="C92" s="238"/>
      <c r="D92" s="239"/>
      <c r="E92" s="120"/>
      <c r="F92" s="280"/>
      <c r="G92" s="220"/>
      <c r="H92" s="194"/>
      <c r="I92" s="119"/>
      <c r="J92" s="119"/>
      <c r="K92" s="125"/>
    </row>
    <row r="93" spans="1:11" ht="17.25" customHeight="1">
      <c r="A93" s="248"/>
      <c r="B93" s="216" t="s">
        <v>674</v>
      </c>
      <c r="C93" s="231" t="s">
        <v>672</v>
      </c>
      <c r="D93" s="120">
        <f>SUM(D94)</f>
        <v>2000</v>
      </c>
      <c r="E93" s="120">
        <v>0</v>
      </c>
      <c r="F93" s="349">
        <f>E93-D93</f>
        <v>-2000</v>
      </c>
      <c r="G93" s="253">
        <v>0</v>
      </c>
      <c r="H93" s="342"/>
      <c r="I93" s="281"/>
      <c r="J93" s="281"/>
      <c r="K93" s="132">
        <f>SUM(K94)</f>
        <v>0</v>
      </c>
    </row>
    <row r="94" spans="1:11" ht="13.5">
      <c r="A94" s="230"/>
      <c r="B94" s="231"/>
      <c r="C94" s="212" t="s">
        <v>675</v>
      </c>
      <c r="D94" s="196">
        <v>2000</v>
      </c>
      <c r="E94" s="294">
        <v>0</v>
      </c>
      <c r="F94" s="241">
        <f>E94-D94</f>
        <v>-2000</v>
      </c>
      <c r="G94" s="235">
        <v>0</v>
      </c>
      <c r="H94" s="242">
        <v>0</v>
      </c>
      <c r="I94" s="193"/>
      <c r="J94" s="193"/>
      <c r="K94" s="132">
        <v>0</v>
      </c>
    </row>
    <row r="95" spans="1:11" ht="13.5">
      <c r="A95" s="374"/>
      <c r="B95" s="276"/>
      <c r="C95" s="238"/>
      <c r="D95" s="239"/>
      <c r="E95" s="120"/>
      <c r="F95" s="280"/>
      <c r="G95" s="220"/>
      <c r="H95" s="343">
        <v>0</v>
      </c>
      <c r="I95" s="350"/>
      <c r="J95" s="350"/>
      <c r="K95" s="132">
        <v>0</v>
      </c>
    </row>
    <row r="96" spans="1:11" ht="15.75" customHeight="1">
      <c r="A96" s="203" t="s">
        <v>249</v>
      </c>
      <c r="B96" s="363" t="s">
        <v>11</v>
      </c>
      <c r="C96" s="364"/>
      <c r="D96" s="120">
        <f>SUM(D97)</f>
        <v>0</v>
      </c>
      <c r="E96" s="120">
        <f>SUM(E97)</f>
        <v>0</v>
      </c>
      <c r="F96" s="121">
        <f aca="true" t="shared" si="4" ref="F96:F104">E96-D96</f>
        <v>0</v>
      </c>
      <c r="G96" s="172"/>
      <c r="H96" s="357"/>
      <c r="I96" s="124"/>
      <c r="J96" s="124"/>
      <c r="K96" s="125"/>
    </row>
    <row r="97" spans="1:11" ht="16.5" customHeight="1">
      <c r="A97" s="398"/>
      <c r="B97" s="402" t="s">
        <v>37</v>
      </c>
      <c r="C97" s="387" t="s">
        <v>637</v>
      </c>
      <c r="D97" s="193">
        <v>0</v>
      </c>
      <c r="E97" s="185">
        <v>0</v>
      </c>
      <c r="F97" s="186">
        <f t="shared" si="4"/>
        <v>0</v>
      </c>
      <c r="G97" s="129">
        <v>0</v>
      </c>
      <c r="H97" s="358"/>
      <c r="I97" s="403"/>
      <c r="J97" s="403"/>
      <c r="K97" s="132"/>
    </row>
    <row r="98" spans="1:11" ht="18" customHeight="1">
      <c r="A98" s="203" t="s">
        <v>250</v>
      </c>
      <c r="B98" s="174" t="s">
        <v>11</v>
      </c>
      <c r="C98" s="364"/>
      <c r="D98" s="120">
        <f>SUM(D100:D100)</f>
        <v>1921</v>
      </c>
      <c r="E98" s="120">
        <f>SUM(E100:E100)</f>
        <v>865</v>
      </c>
      <c r="F98" s="121">
        <f t="shared" si="4"/>
        <v>-1056</v>
      </c>
      <c r="G98" s="122">
        <f aca="true" t="shared" si="5" ref="G98:G103">F98*100/D98</f>
        <v>-54.971369078604894</v>
      </c>
      <c r="H98" s="357" t="s">
        <v>582</v>
      </c>
      <c r="I98" s="124"/>
      <c r="J98" s="124"/>
      <c r="K98" s="125">
        <v>864579</v>
      </c>
    </row>
    <row r="99" spans="1:11" ht="13.5">
      <c r="A99" s="203"/>
      <c r="B99" s="365" t="s">
        <v>16</v>
      </c>
      <c r="C99" s="192" t="s">
        <v>13</v>
      </c>
      <c r="D99" s="185">
        <f>SUM(D100:D100)</f>
        <v>1921</v>
      </c>
      <c r="E99" s="185">
        <f>SUM(E100:E100)</f>
        <v>865</v>
      </c>
      <c r="F99" s="186">
        <f t="shared" si="4"/>
        <v>-1056</v>
      </c>
      <c r="G99" s="129">
        <f t="shared" si="5"/>
        <v>-54.971369078604894</v>
      </c>
      <c r="H99" s="358"/>
      <c r="I99" s="366"/>
      <c r="J99" s="367"/>
      <c r="K99" s="132">
        <v>864579</v>
      </c>
    </row>
    <row r="100" spans="1:11" ht="17.25" customHeight="1">
      <c r="A100" s="404"/>
      <c r="B100" s="395"/>
      <c r="C100" s="405" t="s">
        <v>269</v>
      </c>
      <c r="D100" s="401">
        <v>1921</v>
      </c>
      <c r="E100" s="401">
        <v>865</v>
      </c>
      <c r="F100" s="186">
        <f t="shared" si="4"/>
        <v>-1056</v>
      </c>
      <c r="G100" s="129">
        <f t="shared" si="5"/>
        <v>-54.971369078604894</v>
      </c>
      <c r="H100" s="358" t="s">
        <v>638</v>
      </c>
      <c r="I100" s="406"/>
      <c r="J100" s="406"/>
      <c r="K100" s="132">
        <v>864579</v>
      </c>
    </row>
    <row r="101" spans="1:11" ht="18" customHeight="1">
      <c r="A101" s="268" t="s">
        <v>251</v>
      </c>
      <c r="B101" s="273" t="s">
        <v>11</v>
      </c>
      <c r="C101" s="218"/>
      <c r="D101" s="120">
        <f>SUM(D103:D105)</f>
        <v>3</v>
      </c>
      <c r="E101" s="120">
        <f>SUM(E103:E105)</f>
        <v>3</v>
      </c>
      <c r="F101" s="219">
        <f t="shared" si="4"/>
        <v>0</v>
      </c>
      <c r="G101" s="220">
        <f t="shared" si="5"/>
        <v>0</v>
      </c>
      <c r="H101" s="342" t="s">
        <v>254</v>
      </c>
      <c r="I101" s="222"/>
      <c r="J101" s="222"/>
      <c r="K101" s="125">
        <f>SUM(K103:K105)</f>
        <v>3000</v>
      </c>
    </row>
    <row r="102" spans="1:11" ht="17.25" customHeight="1">
      <c r="A102" s="370"/>
      <c r="B102" s="345" t="s">
        <v>18</v>
      </c>
      <c r="C102" s="290" t="s">
        <v>13</v>
      </c>
      <c r="D102" s="185">
        <f>SUM(D103:D105)</f>
        <v>3</v>
      </c>
      <c r="E102" s="185">
        <f>SUM(E103:E105)</f>
        <v>3</v>
      </c>
      <c r="F102" s="284">
        <f t="shared" si="4"/>
        <v>0</v>
      </c>
      <c r="G102" s="227">
        <f t="shared" si="5"/>
        <v>0</v>
      </c>
      <c r="H102" s="343"/>
      <c r="I102" s="229"/>
      <c r="J102" s="222"/>
      <c r="K102" s="132">
        <f>SUM(K103:K105)</f>
        <v>3000</v>
      </c>
    </row>
    <row r="103" spans="1:11" ht="17.25" customHeight="1">
      <c r="A103" s="370"/>
      <c r="B103" s="266"/>
      <c r="C103" s="355" t="s">
        <v>252</v>
      </c>
      <c r="D103" s="401">
        <v>3</v>
      </c>
      <c r="E103" s="185">
        <v>3</v>
      </c>
      <c r="F103" s="284">
        <f t="shared" si="4"/>
        <v>0</v>
      </c>
      <c r="G103" s="227">
        <f t="shared" si="5"/>
        <v>0</v>
      </c>
      <c r="H103" s="343" t="s">
        <v>583</v>
      </c>
      <c r="I103" s="229"/>
      <c r="J103" s="281"/>
      <c r="K103" s="132">
        <v>3000</v>
      </c>
    </row>
    <row r="104" spans="1:11" ht="17.25" customHeight="1" thickBot="1">
      <c r="A104" s="371"/>
      <c r="B104" s="344"/>
      <c r="C104" s="354" t="s">
        <v>20</v>
      </c>
      <c r="D104" s="498">
        <v>0</v>
      </c>
      <c r="E104" s="351">
        <v>0</v>
      </c>
      <c r="F104" s="352">
        <f t="shared" si="4"/>
        <v>0</v>
      </c>
      <c r="G104" s="303">
        <v>0</v>
      </c>
      <c r="H104" s="372" t="s">
        <v>664</v>
      </c>
      <c r="I104" s="353"/>
      <c r="J104" s="353"/>
      <c r="K104" s="262">
        <v>0</v>
      </c>
    </row>
  </sheetData>
  <mergeCells count="31">
    <mergeCell ref="A1:K1"/>
    <mergeCell ref="A2:K2"/>
    <mergeCell ref="A3:A4"/>
    <mergeCell ref="B3:B4"/>
    <mergeCell ref="C3:C4"/>
    <mergeCell ref="D3:D4"/>
    <mergeCell ref="E3:E4"/>
    <mergeCell ref="F3:G3"/>
    <mergeCell ref="H3:K4"/>
    <mergeCell ref="H41:K42"/>
    <mergeCell ref="A5:C5"/>
    <mergeCell ref="B6:C6"/>
    <mergeCell ref="A41:A42"/>
    <mergeCell ref="B41:B42"/>
    <mergeCell ref="C41:C42"/>
    <mergeCell ref="D79:D80"/>
    <mergeCell ref="E79:E80"/>
    <mergeCell ref="F79:G79"/>
    <mergeCell ref="D41:D42"/>
    <mergeCell ref="E41:E42"/>
    <mergeCell ref="F41:G41"/>
    <mergeCell ref="H79:K80"/>
    <mergeCell ref="B82:C82"/>
    <mergeCell ref="B85:C85"/>
    <mergeCell ref="B60:C60"/>
    <mergeCell ref="A77:K77"/>
    <mergeCell ref="A78:K78"/>
    <mergeCell ref="A81:C81"/>
    <mergeCell ref="A79:A80"/>
    <mergeCell ref="B79:B80"/>
    <mergeCell ref="C79:C80"/>
  </mergeCells>
  <printOptions/>
  <pageMargins left="0.15748031496062992" right="0.15748031496062992" top="0.5905511811023623" bottom="0.3937007874015748" header="0" footer="0"/>
  <pageSetup horizontalDpi="300" verticalDpi="300" orientation="landscape" paperSize="9" r:id="rId1"/>
  <ignoredErrors>
    <ignoredError sqref="K34 K46 K50 K23 K62 K6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4">
      <selection activeCell="K13" sqref="K13"/>
    </sheetView>
  </sheetViews>
  <sheetFormatPr defaultColWidth="8.88671875" defaultRowHeight="13.5"/>
  <cols>
    <col min="1" max="1" width="3.3359375" style="0" customWidth="1"/>
    <col min="2" max="2" width="7.88671875" style="0" customWidth="1"/>
    <col min="3" max="3" width="9.77734375" style="0" customWidth="1"/>
    <col min="4" max="4" width="7.6640625" style="0" customWidth="1"/>
    <col min="5" max="5" width="6.77734375" style="0" customWidth="1"/>
    <col min="6" max="6" width="6.88671875" style="0" customWidth="1"/>
    <col min="7" max="7" width="3.4453125" style="0" customWidth="1"/>
    <col min="8" max="8" width="7.77734375" style="0" customWidth="1"/>
    <col min="9" max="9" width="12.77734375" style="0" customWidth="1"/>
    <col min="10" max="10" width="6.88671875" style="0" customWidth="1"/>
    <col min="11" max="11" width="7.10546875" style="0" customWidth="1"/>
    <col min="12" max="12" width="6.5546875" style="0" customWidth="1"/>
  </cols>
  <sheetData>
    <row r="1" spans="1:12" ht="30.75" customHeight="1">
      <c r="A1" s="645" t="s">
        <v>981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</row>
    <row r="2" spans="1:12" ht="14.25" thickBot="1">
      <c r="A2" s="435" t="s">
        <v>982</v>
      </c>
      <c r="B2" s="435"/>
      <c r="C2" s="435"/>
      <c r="D2" s="436"/>
      <c r="E2" s="436"/>
      <c r="F2" s="436"/>
      <c r="G2" s="436"/>
      <c r="H2" s="436"/>
      <c r="I2" s="437" t="s">
        <v>983</v>
      </c>
      <c r="J2" s="437"/>
      <c r="K2" s="647" t="s">
        <v>41</v>
      </c>
      <c r="L2" s="647"/>
    </row>
    <row r="3" spans="1:12" ht="21.75" customHeight="1">
      <c r="A3" s="648" t="s">
        <v>984</v>
      </c>
      <c r="B3" s="649"/>
      <c r="C3" s="649"/>
      <c r="D3" s="649"/>
      <c r="E3" s="649"/>
      <c r="F3" s="650"/>
      <c r="G3" s="651" t="s">
        <v>985</v>
      </c>
      <c r="H3" s="649"/>
      <c r="I3" s="649"/>
      <c r="J3" s="649"/>
      <c r="K3" s="649"/>
      <c r="L3" s="652"/>
    </row>
    <row r="4" spans="1:12" ht="13.5">
      <c r="A4" s="666" t="s">
        <v>986</v>
      </c>
      <c r="B4" s="662" t="s">
        <v>987</v>
      </c>
      <c r="C4" s="663"/>
      <c r="D4" s="669" t="s">
        <v>988</v>
      </c>
      <c r="E4" s="669" t="s">
        <v>1072</v>
      </c>
      <c r="F4" s="658" t="s">
        <v>989</v>
      </c>
      <c r="G4" s="660" t="s">
        <v>986</v>
      </c>
      <c r="H4" s="662" t="s">
        <v>987</v>
      </c>
      <c r="I4" s="663"/>
      <c r="J4" s="641" t="s">
        <v>988</v>
      </c>
      <c r="K4" s="641" t="s">
        <v>1072</v>
      </c>
      <c r="L4" s="643" t="s">
        <v>989</v>
      </c>
    </row>
    <row r="5" spans="1:12" ht="14.25" thickBot="1">
      <c r="A5" s="667"/>
      <c r="B5" s="668"/>
      <c r="C5" s="665"/>
      <c r="D5" s="642"/>
      <c r="E5" s="642"/>
      <c r="F5" s="659"/>
      <c r="G5" s="661"/>
      <c r="H5" s="664"/>
      <c r="I5" s="665"/>
      <c r="J5" s="642"/>
      <c r="K5" s="642"/>
      <c r="L5" s="644"/>
    </row>
    <row r="6" spans="1:12" ht="20.25" customHeight="1" thickBot="1">
      <c r="A6" s="653" t="s">
        <v>990</v>
      </c>
      <c r="B6" s="654"/>
      <c r="C6" s="655"/>
      <c r="D6" s="438">
        <f>D7+D30+D36</f>
        <v>636789</v>
      </c>
      <c r="E6" s="438">
        <f>E7+E30+E36</f>
        <v>645575</v>
      </c>
      <c r="F6" s="439">
        <f aca="true" t="shared" si="0" ref="F6:F19">E6-D6</f>
        <v>8786</v>
      </c>
      <c r="G6" s="656" t="s">
        <v>991</v>
      </c>
      <c r="H6" s="656"/>
      <c r="I6" s="657"/>
      <c r="J6" s="438">
        <f>J7+J30+J36</f>
        <v>636789</v>
      </c>
      <c r="K6" s="438">
        <f>K7+K30+K36</f>
        <v>645575</v>
      </c>
      <c r="L6" s="440">
        <f>K6-J6</f>
        <v>8786</v>
      </c>
    </row>
    <row r="7" spans="1:12" ht="15.75" customHeight="1" thickTop="1">
      <c r="A7" s="670" t="s">
        <v>992</v>
      </c>
      <c r="B7" s="674" t="s">
        <v>993</v>
      </c>
      <c r="C7" s="675"/>
      <c r="D7" s="441">
        <f>SUM(D8:D24)</f>
        <v>468511</v>
      </c>
      <c r="E7" s="441">
        <f>SUM(E8:E24)</f>
        <v>479032</v>
      </c>
      <c r="F7" s="442">
        <f t="shared" si="0"/>
        <v>10521</v>
      </c>
      <c r="G7" s="676" t="s">
        <v>994</v>
      </c>
      <c r="H7" s="681" t="s">
        <v>996</v>
      </c>
      <c r="I7" s="675"/>
      <c r="J7" s="441">
        <f>SUM(J8:J29)</f>
        <v>468511</v>
      </c>
      <c r="K7" s="441">
        <f>SUM(K8:K29)</f>
        <v>479032</v>
      </c>
      <c r="L7" s="443">
        <f>K7-J7</f>
        <v>10521</v>
      </c>
    </row>
    <row r="8" spans="1:12" ht="15.75" customHeight="1">
      <c r="A8" s="671"/>
      <c r="B8" s="444" t="s">
        <v>243</v>
      </c>
      <c r="C8" s="445" t="s">
        <v>997</v>
      </c>
      <c r="D8" s="446">
        <v>13110</v>
      </c>
      <c r="E8" s="446">
        <v>14150</v>
      </c>
      <c r="F8" s="447">
        <f t="shared" si="0"/>
        <v>1040</v>
      </c>
      <c r="G8" s="677"/>
      <c r="H8" s="444" t="s">
        <v>998</v>
      </c>
      <c r="I8" s="448" t="s">
        <v>999</v>
      </c>
      <c r="J8" s="449">
        <v>186590</v>
      </c>
      <c r="K8" s="449">
        <v>188638</v>
      </c>
      <c r="L8" s="440">
        <f>K8-J8</f>
        <v>2048</v>
      </c>
    </row>
    <row r="9" spans="1:12" ht="15.75" customHeight="1">
      <c r="A9" s="671"/>
      <c r="B9" s="450"/>
      <c r="C9" s="451" t="s">
        <v>1000</v>
      </c>
      <c r="D9" s="446">
        <v>7800</v>
      </c>
      <c r="E9" s="446">
        <v>7800</v>
      </c>
      <c r="F9" s="447">
        <f t="shared" si="0"/>
        <v>0</v>
      </c>
      <c r="G9" s="677"/>
      <c r="H9" s="452"/>
      <c r="I9" s="453" t="s">
        <v>1001</v>
      </c>
      <c r="J9" s="449">
        <v>20870</v>
      </c>
      <c r="K9" s="449">
        <v>20526</v>
      </c>
      <c r="L9" s="440">
        <f>K9-J9</f>
        <v>-344</v>
      </c>
    </row>
    <row r="10" spans="1:12" ht="15.75" customHeight="1">
      <c r="A10" s="671"/>
      <c r="B10" s="444" t="s">
        <v>1002</v>
      </c>
      <c r="C10" s="451" t="s">
        <v>1003</v>
      </c>
      <c r="D10" s="446">
        <v>190039</v>
      </c>
      <c r="E10" s="446">
        <v>190039</v>
      </c>
      <c r="F10" s="454">
        <f t="shared" si="0"/>
        <v>0</v>
      </c>
      <c r="G10" s="677"/>
      <c r="H10" s="452"/>
      <c r="I10" s="448" t="s">
        <v>1004</v>
      </c>
      <c r="J10" s="449">
        <v>30568</v>
      </c>
      <c r="K10" s="449">
        <v>29297</v>
      </c>
      <c r="L10" s="440">
        <f>K10-J10</f>
        <v>-1271</v>
      </c>
    </row>
    <row r="11" spans="1:12" ht="15.75" customHeight="1">
      <c r="A11" s="671"/>
      <c r="B11" s="456"/>
      <c r="C11" s="445" t="s">
        <v>1000</v>
      </c>
      <c r="D11" s="446">
        <v>22000</v>
      </c>
      <c r="E11" s="446">
        <v>22000</v>
      </c>
      <c r="F11" s="457">
        <f t="shared" si="0"/>
        <v>0</v>
      </c>
      <c r="G11" s="677"/>
      <c r="H11" s="452"/>
      <c r="I11" s="448" t="s">
        <v>1005</v>
      </c>
      <c r="J11" s="449">
        <v>7800</v>
      </c>
      <c r="K11" s="449">
        <v>7800</v>
      </c>
      <c r="L11" s="458">
        <f aca="true" t="shared" si="1" ref="L11:L38">K11-J11</f>
        <v>0</v>
      </c>
    </row>
    <row r="12" spans="1:12" ht="15.75" customHeight="1">
      <c r="A12" s="671"/>
      <c r="B12" s="456"/>
      <c r="C12" s="445" t="s">
        <v>1006</v>
      </c>
      <c r="D12" s="446">
        <v>30000</v>
      </c>
      <c r="E12" s="446">
        <v>30000</v>
      </c>
      <c r="F12" s="454">
        <f t="shared" si="0"/>
        <v>0</v>
      </c>
      <c r="G12" s="677"/>
      <c r="H12" s="452"/>
      <c r="I12" s="448" t="s">
        <v>1007</v>
      </c>
      <c r="J12" s="449">
        <v>50037</v>
      </c>
      <c r="K12" s="449">
        <v>50511</v>
      </c>
      <c r="L12" s="458">
        <f t="shared" si="1"/>
        <v>474</v>
      </c>
    </row>
    <row r="13" spans="1:12" ht="15.75" customHeight="1">
      <c r="A13" s="671"/>
      <c r="B13" s="452"/>
      <c r="C13" s="448" t="s">
        <v>1008</v>
      </c>
      <c r="D13" s="446">
        <v>40000</v>
      </c>
      <c r="E13" s="446">
        <v>40000</v>
      </c>
      <c r="F13" s="457">
        <f t="shared" si="0"/>
        <v>0</v>
      </c>
      <c r="G13" s="677"/>
      <c r="H13" s="453" t="s">
        <v>1009</v>
      </c>
      <c r="I13" s="448" t="s">
        <v>1010</v>
      </c>
      <c r="J13" s="449">
        <v>8500</v>
      </c>
      <c r="K13" s="449">
        <v>8980</v>
      </c>
      <c r="L13" s="458">
        <f t="shared" si="1"/>
        <v>480</v>
      </c>
    </row>
    <row r="14" spans="1:12" ht="15.75" customHeight="1">
      <c r="A14" s="671"/>
      <c r="B14" s="459"/>
      <c r="C14" s="448" t="s">
        <v>1011</v>
      </c>
      <c r="D14" s="446">
        <v>9600</v>
      </c>
      <c r="E14" s="446">
        <v>10500</v>
      </c>
      <c r="F14" s="440">
        <f>E14-D14</f>
        <v>900</v>
      </c>
      <c r="G14" s="677"/>
      <c r="H14" s="444" t="s">
        <v>1012</v>
      </c>
      <c r="I14" s="448" t="s">
        <v>1013</v>
      </c>
      <c r="J14" s="449">
        <v>55440</v>
      </c>
      <c r="K14" s="449">
        <v>55920</v>
      </c>
      <c r="L14" s="458">
        <f t="shared" si="1"/>
        <v>480</v>
      </c>
    </row>
    <row r="15" spans="1:12" ht="15.75" customHeight="1">
      <c r="A15" s="671"/>
      <c r="B15" s="453" t="s">
        <v>1014</v>
      </c>
      <c r="C15" s="448" t="s">
        <v>1015</v>
      </c>
      <c r="D15" s="446">
        <v>92822</v>
      </c>
      <c r="E15" s="446">
        <v>97262</v>
      </c>
      <c r="F15" s="440">
        <f>E15-D15</f>
        <v>4440</v>
      </c>
      <c r="G15" s="677"/>
      <c r="H15" s="452"/>
      <c r="I15" s="448" t="s">
        <v>1016</v>
      </c>
      <c r="J15" s="449">
        <v>10000</v>
      </c>
      <c r="K15" s="449">
        <v>10000</v>
      </c>
      <c r="L15" s="458">
        <f t="shared" si="1"/>
        <v>0</v>
      </c>
    </row>
    <row r="16" spans="1:12" ht="15.75" customHeight="1">
      <c r="A16" s="671"/>
      <c r="B16" s="453" t="s">
        <v>1017</v>
      </c>
      <c r="C16" s="448" t="s">
        <v>1017</v>
      </c>
      <c r="D16" s="446">
        <v>40000</v>
      </c>
      <c r="E16" s="446">
        <v>45000</v>
      </c>
      <c r="F16" s="447">
        <f t="shared" si="0"/>
        <v>5000</v>
      </c>
      <c r="G16" s="677"/>
      <c r="H16" s="452"/>
      <c r="I16" s="448" t="s">
        <v>1018</v>
      </c>
      <c r="J16" s="449">
        <v>895</v>
      </c>
      <c r="K16" s="449">
        <v>1566</v>
      </c>
      <c r="L16" s="458">
        <f t="shared" si="1"/>
        <v>671</v>
      </c>
    </row>
    <row r="17" spans="1:12" ht="15.75" customHeight="1">
      <c r="A17" s="671"/>
      <c r="B17" s="459" t="s">
        <v>1019</v>
      </c>
      <c r="C17" s="459" t="s">
        <v>1020</v>
      </c>
      <c r="D17" s="446">
        <v>0</v>
      </c>
      <c r="E17" s="446">
        <v>0</v>
      </c>
      <c r="F17" s="447">
        <f t="shared" si="0"/>
        <v>0</v>
      </c>
      <c r="G17" s="677"/>
      <c r="H17" s="452"/>
      <c r="I17" s="453" t="s">
        <v>1021</v>
      </c>
      <c r="J17" s="449">
        <v>20076</v>
      </c>
      <c r="K17" s="449">
        <v>20976</v>
      </c>
      <c r="L17" s="455">
        <f t="shared" si="1"/>
        <v>900</v>
      </c>
    </row>
    <row r="18" spans="1:12" ht="15.75" customHeight="1">
      <c r="A18" s="671"/>
      <c r="B18" s="453" t="s">
        <v>1022</v>
      </c>
      <c r="C18" s="453" t="s">
        <v>1023</v>
      </c>
      <c r="D18" s="446">
        <v>20000</v>
      </c>
      <c r="E18" s="446">
        <v>20000</v>
      </c>
      <c r="F18" s="460">
        <f t="shared" si="0"/>
        <v>0</v>
      </c>
      <c r="G18" s="677"/>
      <c r="H18" s="452"/>
      <c r="I18" s="448" t="s">
        <v>1024</v>
      </c>
      <c r="J18" s="449">
        <v>18500</v>
      </c>
      <c r="K18" s="449">
        <v>19200</v>
      </c>
      <c r="L18" s="461">
        <f t="shared" si="1"/>
        <v>700</v>
      </c>
    </row>
    <row r="19" spans="1:12" ht="15.75" customHeight="1">
      <c r="A19" s="671"/>
      <c r="B19" s="453" t="s">
        <v>1025</v>
      </c>
      <c r="C19" s="448" t="s">
        <v>1026</v>
      </c>
      <c r="D19" s="446">
        <v>2000</v>
      </c>
      <c r="E19" s="446">
        <v>1265</v>
      </c>
      <c r="F19" s="460">
        <f t="shared" si="0"/>
        <v>-735</v>
      </c>
      <c r="G19" s="677"/>
      <c r="H19" s="452"/>
      <c r="I19" s="448" t="s">
        <v>1027</v>
      </c>
      <c r="J19" s="449">
        <v>25000</v>
      </c>
      <c r="K19" s="449">
        <v>25000</v>
      </c>
      <c r="L19" s="455">
        <f t="shared" si="1"/>
        <v>0</v>
      </c>
    </row>
    <row r="20" spans="1:12" ht="15.75" customHeight="1">
      <c r="A20" s="672"/>
      <c r="B20" s="444" t="s">
        <v>1028</v>
      </c>
      <c r="C20" s="462" t="s">
        <v>1028</v>
      </c>
      <c r="D20" s="463">
        <v>1140</v>
      </c>
      <c r="E20" s="463">
        <v>1016</v>
      </c>
      <c r="F20" s="464">
        <f>E20-D20</f>
        <v>-124</v>
      </c>
      <c r="G20" s="678"/>
      <c r="H20" s="452"/>
      <c r="I20" s="448" t="s">
        <v>1029</v>
      </c>
      <c r="J20" s="449">
        <v>0</v>
      </c>
      <c r="K20" s="449">
        <v>0</v>
      </c>
      <c r="L20" s="440">
        <f>K20-J20</f>
        <v>0</v>
      </c>
    </row>
    <row r="21" spans="1:12" ht="15.75" customHeight="1">
      <c r="A21" s="671"/>
      <c r="B21" s="452"/>
      <c r="C21" s="465"/>
      <c r="D21" s="466"/>
      <c r="E21" s="466"/>
      <c r="F21" s="467"/>
      <c r="G21" s="677"/>
      <c r="H21" s="452"/>
      <c r="I21" s="448" t="s">
        <v>1030</v>
      </c>
      <c r="J21" s="449">
        <v>0</v>
      </c>
      <c r="K21" s="449">
        <v>0</v>
      </c>
      <c r="L21" s="440">
        <f>K21-J21</f>
        <v>0</v>
      </c>
    </row>
    <row r="22" spans="1:12" ht="15.75" customHeight="1">
      <c r="A22" s="671"/>
      <c r="B22" s="452"/>
      <c r="C22" s="465"/>
      <c r="D22" s="466"/>
      <c r="E22" s="466"/>
      <c r="F22" s="468"/>
      <c r="G22" s="677"/>
      <c r="H22" s="452"/>
      <c r="I22" s="448" t="s">
        <v>1031</v>
      </c>
      <c r="J22" s="449">
        <v>13646</v>
      </c>
      <c r="K22" s="449">
        <v>16486</v>
      </c>
      <c r="L22" s="440">
        <f>K22-J22</f>
        <v>2840</v>
      </c>
    </row>
    <row r="23" spans="1:12" ht="15.75" customHeight="1">
      <c r="A23" s="671"/>
      <c r="B23" s="452"/>
      <c r="C23" s="465"/>
      <c r="D23" s="466"/>
      <c r="E23" s="466"/>
      <c r="F23" s="468"/>
      <c r="G23" s="677"/>
      <c r="H23" s="452"/>
      <c r="I23" s="469" t="s">
        <v>1032</v>
      </c>
      <c r="J23" s="449">
        <v>600</v>
      </c>
      <c r="K23" s="449">
        <v>600</v>
      </c>
      <c r="L23" s="458">
        <f t="shared" si="1"/>
        <v>0</v>
      </c>
    </row>
    <row r="24" spans="1:12" ht="15.75" customHeight="1">
      <c r="A24" s="671"/>
      <c r="B24" s="452"/>
      <c r="C24" s="465"/>
      <c r="D24" s="466"/>
      <c r="E24" s="466"/>
      <c r="F24" s="468"/>
      <c r="G24" s="677"/>
      <c r="H24" s="452"/>
      <c r="I24" s="448" t="s">
        <v>1033</v>
      </c>
      <c r="J24" s="449">
        <v>4000</v>
      </c>
      <c r="K24" s="449">
        <v>4000</v>
      </c>
      <c r="L24" s="470">
        <f t="shared" si="1"/>
        <v>0</v>
      </c>
    </row>
    <row r="25" spans="1:12" ht="15.75" customHeight="1">
      <c r="A25" s="671"/>
      <c r="B25" s="452"/>
      <c r="C25" s="465"/>
      <c r="D25" s="466"/>
      <c r="E25" s="466"/>
      <c r="F25" s="468"/>
      <c r="G25" s="677"/>
      <c r="H25" s="452"/>
      <c r="I25" s="448" t="s">
        <v>1034</v>
      </c>
      <c r="J25" s="449">
        <v>0</v>
      </c>
      <c r="K25" s="449">
        <v>0</v>
      </c>
      <c r="L25" s="470">
        <f t="shared" si="1"/>
        <v>0</v>
      </c>
    </row>
    <row r="26" spans="1:12" ht="15.75" customHeight="1">
      <c r="A26" s="671"/>
      <c r="B26" s="452"/>
      <c r="C26" s="465"/>
      <c r="D26" s="466"/>
      <c r="E26" s="466"/>
      <c r="F26" s="468"/>
      <c r="G26" s="679"/>
      <c r="H26" s="452"/>
      <c r="I26" s="471" t="s">
        <v>1035</v>
      </c>
      <c r="J26" s="449">
        <v>11000</v>
      </c>
      <c r="K26" s="449">
        <v>11000</v>
      </c>
      <c r="L26" s="440">
        <f t="shared" si="1"/>
        <v>0</v>
      </c>
    </row>
    <row r="27" spans="1:12" ht="15.75" customHeight="1">
      <c r="A27" s="671"/>
      <c r="B27" s="452"/>
      <c r="C27" s="465"/>
      <c r="D27" s="466"/>
      <c r="E27" s="466"/>
      <c r="F27" s="468"/>
      <c r="G27" s="679"/>
      <c r="H27" s="453" t="s">
        <v>1036</v>
      </c>
      <c r="I27" s="445" t="s">
        <v>1036</v>
      </c>
      <c r="J27" s="449">
        <v>0</v>
      </c>
      <c r="K27" s="449">
        <v>0</v>
      </c>
      <c r="L27" s="440">
        <f t="shared" si="1"/>
        <v>0</v>
      </c>
    </row>
    <row r="28" spans="1:12" ht="15.75" customHeight="1">
      <c r="A28" s="671"/>
      <c r="B28" s="452"/>
      <c r="C28" s="465"/>
      <c r="D28" s="466"/>
      <c r="E28" s="466"/>
      <c r="F28" s="468"/>
      <c r="G28" s="677"/>
      <c r="H28" s="459" t="s">
        <v>1037</v>
      </c>
      <c r="I28" s="448" t="s">
        <v>1037</v>
      </c>
      <c r="J28" s="449">
        <v>989</v>
      </c>
      <c r="K28" s="449">
        <v>0</v>
      </c>
      <c r="L28" s="440">
        <f>K28-J28</f>
        <v>-989</v>
      </c>
    </row>
    <row r="29" spans="1:12" ht="15.75" customHeight="1" thickBot="1">
      <c r="A29" s="673"/>
      <c r="B29" s="472"/>
      <c r="C29" s="473"/>
      <c r="D29" s="474"/>
      <c r="E29" s="474"/>
      <c r="F29" s="475"/>
      <c r="G29" s="680"/>
      <c r="H29" s="476" t="s">
        <v>1038</v>
      </c>
      <c r="I29" s="477" t="s">
        <v>1038</v>
      </c>
      <c r="J29" s="478">
        <v>4000</v>
      </c>
      <c r="K29" s="478">
        <v>8532</v>
      </c>
      <c r="L29" s="479">
        <f t="shared" si="1"/>
        <v>4532</v>
      </c>
    </row>
    <row r="30" spans="1:12" ht="15.75" customHeight="1">
      <c r="A30" s="682" t="s">
        <v>1040</v>
      </c>
      <c r="B30" s="685" t="s">
        <v>1041</v>
      </c>
      <c r="C30" s="686"/>
      <c r="D30" s="480">
        <f>D31+D32+D33+D34+D35</f>
        <v>105086</v>
      </c>
      <c r="E30" s="480">
        <f>E31+E32+E33+E34+E35</f>
        <v>108807</v>
      </c>
      <c r="F30" s="481">
        <f aca="true" t="shared" si="2" ref="F30:F42">E30-D30</f>
        <v>3721</v>
      </c>
      <c r="G30" s="687" t="s">
        <v>1039</v>
      </c>
      <c r="H30" s="689" t="s">
        <v>995</v>
      </c>
      <c r="I30" s="690"/>
      <c r="J30" s="482">
        <f>J31+J32+J33+J34+J35</f>
        <v>105086</v>
      </c>
      <c r="K30" s="482">
        <f>K31+K32+K33+K34+K35</f>
        <v>108807</v>
      </c>
      <c r="L30" s="440">
        <f t="shared" si="1"/>
        <v>3721</v>
      </c>
    </row>
    <row r="31" spans="1:12" ht="15.75" customHeight="1">
      <c r="A31" s="683"/>
      <c r="B31" s="691" t="s">
        <v>580</v>
      </c>
      <c r="C31" s="459" t="s">
        <v>1042</v>
      </c>
      <c r="D31" s="446">
        <v>57882</v>
      </c>
      <c r="E31" s="446">
        <v>57882</v>
      </c>
      <c r="F31" s="457">
        <f t="shared" si="2"/>
        <v>0</v>
      </c>
      <c r="G31" s="687"/>
      <c r="H31" s="693" t="s">
        <v>603</v>
      </c>
      <c r="I31" s="483" t="s">
        <v>218</v>
      </c>
      <c r="J31" s="449">
        <v>55288</v>
      </c>
      <c r="K31" s="449">
        <v>59127</v>
      </c>
      <c r="L31" s="440">
        <f>K31-J31</f>
        <v>3839</v>
      </c>
    </row>
    <row r="32" spans="1:12" ht="15.75" customHeight="1">
      <c r="A32" s="683"/>
      <c r="B32" s="692"/>
      <c r="C32" s="448" t="s">
        <v>1043</v>
      </c>
      <c r="D32" s="446">
        <v>2400</v>
      </c>
      <c r="E32" s="446">
        <v>2400</v>
      </c>
      <c r="F32" s="447">
        <f t="shared" si="2"/>
        <v>0</v>
      </c>
      <c r="G32" s="687"/>
      <c r="H32" s="694"/>
      <c r="I32" s="448" t="s">
        <v>1044</v>
      </c>
      <c r="J32" s="449">
        <v>3482</v>
      </c>
      <c r="K32" s="449">
        <v>3482</v>
      </c>
      <c r="L32" s="458">
        <f t="shared" si="1"/>
        <v>0</v>
      </c>
    </row>
    <row r="33" spans="1:12" ht="15.75" customHeight="1">
      <c r="A33" s="683"/>
      <c r="B33" s="597"/>
      <c r="C33" s="448" t="s">
        <v>246</v>
      </c>
      <c r="D33" s="446">
        <v>44500</v>
      </c>
      <c r="E33" s="446">
        <v>48500</v>
      </c>
      <c r="F33" s="447">
        <f t="shared" si="2"/>
        <v>4000</v>
      </c>
      <c r="G33" s="687"/>
      <c r="H33" s="484" t="s">
        <v>1045</v>
      </c>
      <c r="I33" s="448" t="s">
        <v>1046</v>
      </c>
      <c r="J33" s="449">
        <v>0</v>
      </c>
      <c r="K33" s="449">
        <v>0</v>
      </c>
      <c r="L33" s="458">
        <f t="shared" si="1"/>
        <v>0</v>
      </c>
    </row>
    <row r="34" spans="1:12" ht="15.75" customHeight="1">
      <c r="A34" s="683"/>
      <c r="B34" s="485" t="s">
        <v>1047</v>
      </c>
      <c r="C34" s="448" t="s">
        <v>1048</v>
      </c>
      <c r="D34" s="446">
        <v>304</v>
      </c>
      <c r="E34" s="446">
        <v>25</v>
      </c>
      <c r="F34" s="460">
        <f t="shared" si="2"/>
        <v>-279</v>
      </c>
      <c r="G34" s="687"/>
      <c r="H34" s="453" t="s">
        <v>1049</v>
      </c>
      <c r="I34" s="448" t="s">
        <v>1049</v>
      </c>
      <c r="J34" s="449">
        <v>46000</v>
      </c>
      <c r="K34" s="449">
        <v>46000</v>
      </c>
      <c r="L34" s="458">
        <f t="shared" si="1"/>
        <v>0</v>
      </c>
    </row>
    <row r="35" spans="1:12" ht="15.75" customHeight="1" thickBot="1">
      <c r="A35" s="684"/>
      <c r="B35" s="476" t="s">
        <v>1050</v>
      </c>
      <c r="C35" s="477" t="s">
        <v>1051</v>
      </c>
      <c r="D35" s="486">
        <v>0</v>
      </c>
      <c r="E35" s="486">
        <v>0</v>
      </c>
      <c r="F35" s="440">
        <f t="shared" si="2"/>
        <v>0</v>
      </c>
      <c r="G35" s="688"/>
      <c r="H35" s="476" t="s">
        <v>1052</v>
      </c>
      <c r="I35" s="477" t="s">
        <v>1052</v>
      </c>
      <c r="J35" s="478">
        <v>316</v>
      </c>
      <c r="K35" s="478">
        <v>198</v>
      </c>
      <c r="L35" s="479">
        <f>K35-J35</f>
        <v>-118</v>
      </c>
    </row>
    <row r="36" spans="1:12" ht="15.75" customHeight="1">
      <c r="A36" s="682" t="s">
        <v>1053</v>
      </c>
      <c r="B36" s="697" t="s">
        <v>1054</v>
      </c>
      <c r="C36" s="698"/>
      <c r="D36" s="482">
        <f>D37+D38+D39+D40+D41+D42</f>
        <v>63192</v>
      </c>
      <c r="E36" s="482">
        <f>E37+E38+E39+E40+E41+E42</f>
        <v>57736</v>
      </c>
      <c r="F36" s="481">
        <f t="shared" si="2"/>
        <v>-5456</v>
      </c>
      <c r="G36" s="699" t="s">
        <v>1055</v>
      </c>
      <c r="H36" s="702" t="s">
        <v>996</v>
      </c>
      <c r="I36" s="698"/>
      <c r="J36" s="482">
        <f>J37+J38+J39+J40+J41+J42</f>
        <v>63192</v>
      </c>
      <c r="K36" s="482">
        <f>K37+K38+K39+K40+K41+K42</f>
        <v>57736</v>
      </c>
      <c r="L36" s="440">
        <f t="shared" si="1"/>
        <v>-5456</v>
      </c>
    </row>
    <row r="37" spans="1:12" ht="15.75" customHeight="1">
      <c r="A37" s="695"/>
      <c r="B37" s="691" t="s">
        <v>1056</v>
      </c>
      <c r="C37" s="485" t="s">
        <v>1057</v>
      </c>
      <c r="D37" s="446">
        <v>34068</v>
      </c>
      <c r="E37" s="446">
        <v>34068</v>
      </c>
      <c r="F37" s="447">
        <f t="shared" si="2"/>
        <v>0</v>
      </c>
      <c r="G37" s="700"/>
      <c r="H37" s="704" t="s">
        <v>1058</v>
      </c>
      <c r="I37" s="485" t="s">
        <v>1059</v>
      </c>
      <c r="J37" s="449">
        <v>46267</v>
      </c>
      <c r="K37" s="449">
        <v>37693</v>
      </c>
      <c r="L37" s="458">
        <f t="shared" si="1"/>
        <v>-8574</v>
      </c>
    </row>
    <row r="38" spans="1:12" ht="15.75" customHeight="1">
      <c r="A38" s="695"/>
      <c r="B38" s="703"/>
      <c r="C38" s="485" t="s">
        <v>1060</v>
      </c>
      <c r="D38" s="446">
        <v>2400</v>
      </c>
      <c r="E38" s="446">
        <v>3600</v>
      </c>
      <c r="F38" s="447">
        <f t="shared" si="2"/>
        <v>1200</v>
      </c>
      <c r="G38" s="700"/>
      <c r="H38" s="705"/>
      <c r="I38" s="445" t="s">
        <v>1061</v>
      </c>
      <c r="J38" s="446">
        <v>8096</v>
      </c>
      <c r="K38" s="446">
        <v>9380</v>
      </c>
      <c r="L38" s="458">
        <f t="shared" si="1"/>
        <v>1284</v>
      </c>
    </row>
    <row r="39" spans="1:12" ht="15.75" customHeight="1">
      <c r="A39" s="695"/>
      <c r="B39" s="448" t="s">
        <v>1062</v>
      </c>
      <c r="C39" s="451" t="s">
        <v>1063</v>
      </c>
      <c r="D39" s="446">
        <v>21600</v>
      </c>
      <c r="E39" s="446">
        <v>19200</v>
      </c>
      <c r="F39" s="489">
        <f t="shared" si="2"/>
        <v>-2400</v>
      </c>
      <c r="G39" s="700"/>
      <c r="H39" s="490" t="s">
        <v>1064</v>
      </c>
      <c r="I39" s="448" t="s">
        <v>1065</v>
      </c>
      <c r="J39" s="446">
        <v>1500</v>
      </c>
      <c r="K39" s="446">
        <v>1500</v>
      </c>
      <c r="L39" s="458">
        <f>K39-J39</f>
        <v>0</v>
      </c>
    </row>
    <row r="40" spans="1:12" ht="15.75" customHeight="1">
      <c r="A40" s="695"/>
      <c r="B40" s="448" t="s">
        <v>1066</v>
      </c>
      <c r="C40" s="491" t="s">
        <v>1066</v>
      </c>
      <c r="D40" s="463">
        <v>2000</v>
      </c>
      <c r="E40" s="463">
        <v>0</v>
      </c>
      <c r="F40" s="489">
        <f t="shared" si="2"/>
        <v>-2000</v>
      </c>
      <c r="G40" s="700"/>
      <c r="H40" s="445" t="s">
        <v>1067</v>
      </c>
      <c r="I40" s="488" t="s">
        <v>1067</v>
      </c>
      <c r="J40" s="446">
        <v>7329</v>
      </c>
      <c r="K40" s="446">
        <v>7689</v>
      </c>
      <c r="L40" s="458">
        <f>K40-J40</f>
        <v>360</v>
      </c>
    </row>
    <row r="41" spans="1:12" ht="15.75" customHeight="1">
      <c r="A41" s="695"/>
      <c r="B41" s="448" t="s">
        <v>1068</v>
      </c>
      <c r="C41" s="491" t="s">
        <v>1069</v>
      </c>
      <c r="D41" s="463">
        <v>2876</v>
      </c>
      <c r="E41" s="463">
        <v>865</v>
      </c>
      <c r="F41" s="440">
        <f t="shared" si="2"/>
        <v>-2011</v>
      </c>
      <c r="G41" s="700"/>
      <c r="H41" s="445" t="s">
        <v>1070</v>
      </c>
      <c r="I41" s="488" t="s">
        <v>1070</v>
      </c>
      <c r="J41" s="446">
        <v>0</v>
      </c>
      <c r="K41" s="446">
        <v>1474</v>
      </c>
      <c r="L41" s="458">
        <f>K41-J41</f>
        <v>1474</v>
      </c>
    </row>
    <row r="42" spans="1:12" ht="15.75" customHeight="1" thickBot="1">
      <c r="A42" s="696"/>
      <c r="B42" s="477" t="s">
        <v>1071</v>
      </c>
      <c r="C42" s="476" t="s">
        <v>1071</v>
      </c>
      <c r="D42" s="486">
        <v>248</v>
      </c>
      <c r="E42" s="486">
        <v>3</v>
      </c>
      <c r="F42" s="494">
        <f t="shared" si="2"/>
        <v>-245</v>
      </c>
      <c r="G42" s="701"/>
      <c r="H42" s="492"/>
      <c r="I42" s="493"/>
      <c r="J42" s="486"/>
      <c r="K42" s="486"/>
      <c r="L42" s="487"/>
    </row>
  </sheetData>
  <mergeCells count="32">
    <mergeCell ref="A36:A42"/>
    <mergeCell ref="B36:C36"/>
    <mergeCell ref="G36:G42"/>
    <mergeCell ref="H36:I36"/>
    <mergeCell ref="B37:B38"/>
    <mergeCell ref="H37:H38"/>
    <mergeCell ref="A30:A35"/>
    <mergeCell ref="B30:C30"/>
    <mergeCell ref="G30:G35"/>
    <mergeCell ref="H30:I30"/>
    <mergeCell ref="B31:B33"/>
    <mergeCell ref="H31:H32"/>
    <mergeCell ref="A7:A29"/>
    <mergeCell ref="B7:C7"/>
    <mergeCell ref="G7:G29"/>
    <mergeCell ref="H7:I7"/>
    <mergeCell ref="A6:C6"/>
    <mergeCell ref="G6:I6"/>
    <mergeCell ref="F4:F5"/>
    <mergeCell ref="G4:G5"/>
    <mergeCell ref="H4:I5"/>
    <mergeCell ref="A4:A5"/>
    <mergeCell ref="B4:C5"/>
    <mergeCell ref="D4:D5"/>
    <mergeCell ref="E4:E5"/>
    <mergeCell ref="K4:K5"/>
    <mergeCell ref="L4:L5"/>
    <mergeCell ref="J4:J5"/>
    <mergeCell ref="A1:L1"/>
    <mergeCell ref="K2:L2"/>
    <mergeCell ref="A3:F3"/>
    <mergeCell ref="G3:L3"/>
  </mergeCells>
  <printOptions/>
  <pageMargins left="0.15748031496062992" right="0.15748031496062992" top="0.984251968503937" bottom="0.98425196850393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기본값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기본값</dc:creator>
  <cp:keywords/>
  <dc:description/>
  <cp:lastModifiedBy>기본값</cp:lastModifiedBy>
  <cp:lastPrinted>2006-03-23T06:21:59Z</cp:lastPrinted>
  <dcterms:created xsi:type="dcterms:W3CDTF">2005-12-02T03:15:26Z</dcterms:created>
  <dcterms:modified xsi:type="dcterms:W3CDTF">2006-03-23T06:22:13Z</dcterms:modified>
  <cp:category/>
  <cp:version/>
  <cp:contentType/>
  <cp:contentStatus/>
</cp:coreProperties>
</file>