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1640" windowHeight="6435" tabRatio="780" activeTab="1"/>
  </bookViews>
  <sheets>
    <sheet name="사회복지관세입" sheetId="1" r:id="rId1"/>
    <sheet name="사회복지관세출" sheetId="2" r:id="rId2"/>
    <sheet name="노인복지세입" sheetId="3" r:id="rId3"/>
    <sheet name="노인복지세출" sheetId="4" r:id="rId4"/>
  </sheets>
  <definedNames>
    <definedName name="_xlnm.Print_Area" localSheetId="2">'노인복지세입'!$A$1:$T$56</definedName>
    <definedName name="_xlnm.Print_Area" localSheetId="3">'노인복지세출'!$A$1:$T$138</definedName>
    <definedName name="_xlnm.Print_Area" localSheetId="0">'사회복지관세입'!$A$1:$T$24</definedName>
    <definedName name="_xlnm.Print_Area" localSheetId="1">'사회복지관세출'!$A$1:$T$439</definedName>
    <definedName name="_xlnm.Print_Titles" localSheetId="0">'사회복지관세입'!$4:$5</definedName>
    <definedName name="_xlnm.Print_Titles" localSheetId="1">'사회복지관세출'!$4:$5</definedName>
  </definedNames>
  <calcPr fullCalcOnLoad="1"/>
</workbook>
</file>

<file path=xl/sharedStrings.xml><?xml version="1.0" encoding="utf-8"?>
<sst xmlns="http://schemas.openxmlformats.org/spreadsheetml/2006/main" count="2059" uniqueCount="938">
  <si>
    <t>50,000*6회</t>
  </si>
  <si>
    <t>30,000*2회</t>
  </si>
  <si>
    <t>200,000*1회</t>
  </si>
  <si>
    <t>10,000*5명*5회</t>
  </si>
  <si>
    <t>20,000*12월</t>
  </si>
  <si>
    <t>10,000*5회</t>
  </si>
  <si>
    <t>10,000*8회*2학기</t>
  </si>
  <si>
    <t>1,000*90개</t>
  </si>
  <si>
    <t>10,000*10명*1회</t>
  </si>
  <si>
    <t>20,000*10명*4회</t>
  </si>
  <si>
    <t>5,000*5명*4주*8월</t>
  </si>
  <si>
    <t>10,000*12월</t>
  </si>
  <si>
    <t>2,000*50명*1회</t>
  </si>
  <si>
    <t>50,000*1회</t>
  </si>
  <si>
    <t>50,000*3회</t>
  </si>
  <si>
    <t>15,000*12회</t>
  </si>
  <si>
    <t>40,000*10회</t>
  </si>
  <si>
    <t>20,000*12회</t>
  </si>
  <si>
    <t>10,000*4회</t>
  </si>
  <si>
    <t>10,000*5명*4회</t>
  </si>
  <si>
    <t>30,000*1회</t>
  </si>
  <si>
    <t>30,000*15명</t>
  </si>
  <si>
    <t>3,000*50부</t>
  </si>
  <si>
    <t>150,000*1회</t>
  </si>
  <si>
    <t>10,000*20명</t>
  </si>
  <si>
    <t>20,000*2회</t>
  </si>
  <si>
    <t>800,000*1회</t>
  </si>
  <si>
    <t>5,000*2회*20명</t>
  </si>
  <si>
    <t>20,000*20명*2회</t>
  </si>
  <si>
    <t>25,000*6회</t>
  </si>
  <si>
    <t>400,000*1회</t>
  </si>
  <si>
    <t>15,000*30명*1회</t>
  </si>
  <si>
    <t>10,000*12회</t>
  </si>
  <si>
    <t>30,000*10회</t>
  </si>
  <si>
    <t>30000*10회</t>
  </si>
  <si>
    <t>10,000*4회*10월*1명</t>
  </si>
  <si>
    <t>20,000*20명*1회</t>
  </si>
  <si>
    <t>500*300부*1회</t>
  </si>
  <si>
    <t>3,000*20권*1회</t>
  </si>
  <si>
    <t>400,000*4회</t>
  </si>
  <si>
    <t>200,000*3회</t>
  </si>
  <si>
    <t>100,000*4회</t>
  </si>
  <si>
    <t>100,000*6회</t>
  </si>
  <si>
    <t>50000*4</t>
  </si>
  <si>
    <t>50,000*10월</t>
  </si>
  <si>
    <t>10,000*10월</t>
  </si>
  <si>
    <t>250,000*1회</t>
  </si>
  <si>
    <t>150,000*2회</t>
  </si>
  <si>
    <t>120,000*3회</t>
  </si>
  <si>
    <r>
      <t xml:space="preserve">  </t>
    </r>
    <r>
      <rPr>
        <sz val="9"/>
        <rFont val="바탕체"/>
        <family val="1"/>
      </rPr>
      <t>욕구조사 설문지 제작</t>
    </r>
  </si>
  <si>
    <r>
      <t xml:space="preserve">  </t>
    </r>
    <r>
      <rPr>
        <sz val="9"/>
        <rFont val="바탕체"/>
        <family val="1"/>
      </rPr>
      <t>마주보기 간담회 진행비</t>
    </r>
  </si>
  <si>
    <r>
      <t xml:space="preserve">  </t>
    </r>
    <r>
      <rPr>
        <sz val="9"/>
        <rFont val="바탕"/>
        <family val="1"/>
      </rPr>
      <t>욕구조사 설문지 제작</t>
    </r>
  </si>
  <si>
    <r>
      <t xml:space="preserve">  </t>
    </r>
    <r>
      <rPr>
        <sz val="9"/>
        <rFont val="바탕"/>
        <family val="1"/>
      </rPr>
      <t>마주보기 간담회 진행비</t>
    </r>
  </si>
  <si>
    <t>(과년도수입)</t>
  </si>
  <si>
    <t>(기본운영비)</t>
  </si>
  <si>
    <t>412</t>
  </si>
  <si>
    <t>421</t>
  </si>
  <si>
    <t>(자본보조금)</t>
  </si>
  <si>
    <t>(후원금수입)</t>
  </si>
  <si>
    <t>(금융기관차입금)</t>
  </si>
  <si>
    <t>(법인전입금)</t>
  </si>
  <si>
    <t>(전년도이월금)</t>
  </si>
  <si>
    <t>(이월사업비)</t>
  </si>
  <si>
    <t>(기타예금이자수입)</t>
  </si>
  <si>
    <t>(기타잡수입)</t>
  </si>
  <si>
    <t>113
일용잡급</t>
  </si>
  <si>
    <t xml:space="preserve">                  </t>
  </si>
  <si>
    <t>213</t>
  </si>
  <si>
    <t>215</t>
  </si>
  <si>
    <t>(교육문화사업)</t>
  </si>
  <si>
    <t>(자활사업)</t>
  </si>
  <si>
    <t>311</t>
  </si>
  <si>
    <t>411</t>
  </si>
  <si>
    <t>%</t>
  </si>
  <si>
    <t>관</t>
  </si>
  <si>
    <t>항</t>
  </si>
  <si>
    <t>목</t>
  </si>
  <si>
    <t xml:space="preserve">     단위(원)</t>
  </si>
  <si>
    <t>증  감</t>
  </si>
  <si>
    <t>지역사회조직</t>
  </si>
  <si>
    <t xml:space="preserve"> </t>
  </si>
  <si>
    <t>1. 세출내역</t>
  </si>
  <si>
    <t>500,000*1회</t>
  </si>
  <si>
    <t>20,000*4회</t>
  </si>
  <si>
    <t>100,000*2회</t>
  </si>
  <si>
    <t>20,000*6회</t>
  </si>
  <si>
    <t xml:space="preserve">  운영비</t>
  </si>
  <si>
    <t>지역사회보호</t>
  </si>
  <si>
    <t>교육문화</t>
  </si>
  <si>
    <t>자활지원</t>
  </si>
  <si>
    <t>300,000*4회</t>
  </si>
  <si>
    <t xml:space="preserve">  송년행사</t>
  </si>
  <si>
    <t>30,000*6회</t>
  </si>
  <si>
    <t xml:space="preserve">  운영위원회 운영비</t>
  </si>
  <si>
    <t>150,000*4회</t>
  </si>
  <si>
    <t xml:space="preserve">  CMS 관리비</t>
  </si>
  <si>
    <t xml:space="preserve">  CMS 운영비</t>
  </si>
  <si>
    <t>30,000* 4회</t>
  </si>
  <si>
    <t>70,000*12회</t>
  </si>
  <si>
    <t xml:space="preserve">  후원매개체개발비</t>
  </si>
  <si>
    <t xml:space="preserve">  기관피드백 제작비 </t>
  </si>
  <si>
    <t xml:space="preserve">200,000*10회 </t>
  </si>
  <si>
    <t xml:space="preserve">  조사,연구 지원비 </t>
  </si>
  <si>
    <t>400,000*12회</t>
  </si>
  <si>
    <t xml:space="preserve">  지역주민역량강화 지원비</t>
  </si>
  <si>
    <t>50,000*2회</t>
  </si>
  <si>
    <t>* 생활영어교실</t>
  </si>
  <si>
    <t xml:space="preserve"> </t>
  </si>
  <si>
    <t xml:space="preserve">  intake-w'er 강사 활동비</t>
  </si>
  <si>
    <t xml:space="preserve">  intake-w'er 교육 진행비</t>
  </si>
  <si>
    <t xml:space="preserve">  자원봉사자 활동비</t>
  </si>
  <si>
    <t xml:space="preserve">  집단상담 자원봉사자 활동비</t>
  </si>
  <si>
    <t xml:space="preserve">  집단상담 진행비</t>
  </si>
  <si>
    <t xml:space="preserve">  전문미술치료 강사비</t>
  </si>
  <si>
    <t xml:space="preserve">  야외프로그램 진행비</t>
  </si>
  <si>
    <t xml:space="preserve">  집단상담 평가회</t>
  </si>
  <si>
    <t xml:space="preserve">  학교폭력 예방교육(교사대상)</t>
  </si>
  <si>
    <t xml:space="preserve">  학교폭력 예방교육 평가회의</t>
  </si>
  <si>
    <t xml:space="preserve">  대상자 피드백</t>
  </si>
  <si>
    <t xml:space="preserve">  금연/금주 특강 강사비</t>
  </si>
  <si>
    <t xml:space="preserve">  금연/금주 자원봉사학교 진행비</t>
  </si>
  <si>
    <t xml:space="preserve">  기념품 제작비</t>
  </si>
  <si>
    <t xml:space="preserve">  평가회비</t>
  </si>
  <si>
    <t xml:space="preserve">2007년 예 산 산 출 내 역 </t>
  </si>
  <si>
    <t>* 행퍼봉사단 운영을 통한 맞춤형 식사지원서비스</t>
  </si>
  <si>
    <t xml:space="preserve">  행퍼봉사단 구성 및 운영</t>
  </si>
  <si>
    <t xml:space="preserve">  맞춤형 식사지원</t>
  </si>
  <si>
    <t xml:space="preserve">  자원체계 네트워크를 통한 통합적 사례관리</t>
  </si>
  <si>
    <t>* 십시일반 이웃사촌 사랑나누기 서비스</t>
  </si>
  <si>
    <t>* 시각장애인의 역량강화를 위한 프로그램</t>
  </si>
  <si>
    <t>* 지체장애인 역량강화프로그램</t>
  </si>
  <si>
    <t>* 어르신 상담교육프로그램</t>
  </si>
  <si>
    <t>* 주말긴급보호사업</t>
  </si>
  <si>
    <t>* 장애인 자립작업장</t>
  </si>
  <si>
    <t>* 자활근로자 위탁관리사업</t>
  </si>
  <si>
    <t xml:space="preserve">  마주보기 운영비 </t>
  </si>
  <si>
    <t xml:space="preserve">  전문상담강사 섭외비</t>
  </si>
  <si>
    <t xml:space="preserve">  미술치료 강사비</t>
  </si>
  <si>
    <t xml:space="preserve">  웃음치료 강사비</t>
  </si>
  <si>
    <t xml:space="preserve">  선진기관방문 진행비</t>
  </si>
  <si>
    <t xml:space="preserve">  사회적응훈련 및 체험활동</t>
  </si>
  <si>
    <t xml:space="preserve">  발표회 및 평가회 진행비</t>
  </si>
  <si>
    <t>12
업무추진비</t>
  </si>
  <si>
    <t>=</t>
  </si>
  <si>
    <t>115</t>
  </si>
  <si>
    <t>(퇴직금및퇴직적립금)</t>
  </si>
  <si>
    <t>116</t>
  </si>
  <si>
    <t>(사회보험부담비용)</t>
  </si>
  <si>
    <t>117</t>
  </si>
  <si>
    <t>(기타후생경비)</t>
  </si>
  <si>
    <t>(직책보조비)</t>
  </si>
  <si>
    <t>(회의비)</t>
  </si>
  <si>
    <t>(여비)</t>
  </si>
  <si>
    <t>(수용비및수수료)</t>
  </si>
  <si>
    <t>(공공요금)</t>
  </si>
  <si>
    <t>(제세공과금)</t>
  </si>
  <si>
    <t>(차량비)</t>
  </si>
  <si>
    <t>(기타)</t>
  </si>
  <si>
    <t>(시설비)</t>
  </si>
  <si>
    <t>(자산취득비)</t>
  </si>
  <si>
    <t>(시설장비유지비)</t>
  </si>
  <si>
    <t>(가족복지사업)</t>
  </si>
  <si>
    <t>(지역사회보호사업)</t>
  </si>
  <si>
    <t>(지역사회조직사업)</t>
  </si>
  <si>
    <t>(교육문화사업)</t>
  </si>
  <si>
    <t>(자활사업)</t>
  </si>
  <si>
    <t>(법인회계전출금)</t>
  </si>
  <si>
    <t>(과년도지출)</t>
  </si>
  <si>
    <t>(원금상환금)</t>
  </si>
  <si>
    <t>(이자지불금)</t>
  </si>
  <si>
    <t>(잡지출)</t>
  </si>
  <si>
    <t>(예비비)</t>
  </si>
  <si>
    <t>111</t>
  </si>
  <si>
    <t>114</t>
  </si>
  <si>
    <t>121</t>
  </si>
  <si>
    <t>212</t>
  </si>
  <si>
    <t>331</t>
  </si>
  <si>
    <t>332</t>
  </si>
  <si>
    <t>333</t>
  </si>
  <si>
    <t>334</t>
  </si>
  <si>
    <t>335</t>
  </si>
  <si>
    <t>411</t>
  </si>
  <si>
    <t>511</t>
  </si>
  <si>
    <t>611</t>
  </si>
  <si>
    <t>711</t>
  </si>
  <si>
    <t>811</t>
  </si>
  <si>
    <t>총    계</t>
  </si>
  <si>
    <t>(급여)</t>
  </si>
  <si>
    <t>112</t>
  </si>
  <si>
    <t>(상여금)</t>
  </si>
  <si>
    <t>113</t>
  </si>
  <si>
    <t>(일용잡금)</t>
  </si>
  <si>
    <t>임시직</t>
  </si>
  <si>
    <t>(제수당)</t>
  </si>
  <si>
    <t>종사자특별수당</t>
  </si>
  <si>
    <t>기관운영비</t>
  </si>
  <si>
    <t>122</t>
  </si>
  <si>
    <t>123</t>
  </si>
  <si>
    <t>131</t>
  </si>
  <si>
    <t>132</t>
  </si>
  <si>
    <t>133</t>
  </si>
  <si>
    <t>134</t>
  </si>
  <si>
    <t>135</t>
  </si>
  <si>
    <t>136</t>
  </si>
  <si>
    <t>211</t>
  </si>
  <si>
    <t>213</t>
  </si>
  <si>
    <t>결연서비스</t>
  </si>
  <si>
    <t>612</t>
  </si>
  <si>
    <t xml:space="preserve">     단위(천원)</t>
  </si>
  <si>
    <t>01 사무비</t>
  </si>
  <si>
    <t>11 인건비</t>
  </si>
  <si>
    <t>12 업무추진비</t>
  </si>
  <si>
    <t>13 운영비</t>
  </si>
  <si>
    <t>02 자산조성비</t>
  </si>
  <si>
    <t>21 시설비</t>
  </si>
  <si>
    <t>03 사업비</t>
  </si>
  <si>
    <t>33 사업비</t>
  </si>
  <si>
    <t>04 전출금</t>
  </si>
  <si>
    <t>41 전출금</t>
  </si>
  <si>
    <t>05 과년도지출</t>
  </si>
  <si>
    <t>51 과년도지출</t>
  </si>
  <si>
    <t>06 부채상환금</t>
  </si>
  <si>
    <t>61 부채상환금</t>
  </si>
  <si>
    <t>07 잡지출</t>
  </si>
  <si>
    <t>71 잡지출</t>
  </si>
  <si>
    <t>08 예비비</t>
  </si>
  <si>
    <t>81 예비비</t>
  </si>
  <si>
    <t xml:space="preserve">산   출   내   역 </t>
  </si>
  <si>
    <t>증  감</t>
  </si>
  <si>
    <t>관</t>
  </si>
  <si>
    <t>항</t>
  </si>
  <si>
    <t>총    계</t>
  </si>
  <si>
    <t>=</t>
  </si>
  <si>
    <t>12
업무추진비</t>
  </si>
  <si>
    <t xml:space="preserve"> </t>
  </si>
  <si>
    <t>1. 세출내역</t>
  </si>
  <si>
    <t xml:space="preserve">     단위(원)</t>
  </si>
  <si>
    <t>02 사업수입</t>
  </si>
  <si>
    <t>21 사업수입</t>
  </si>
  <si>
    <t>=</t>
  </si>
  <si>
    <t>03 과년도수입</t>
  </si>
  <si>
    <t>31 과년도수입</t>
  </si>
  <si>
    <t>04 보조금수입</t>
  </si>
  <si>
    <t>41 경상보조금수입</t>
  </si>
  <si>
    <t>(종사자특별수당)</t>
  </si>
  <si>
    <t>42 자본보조금수입</t>
  </si>
  <si>
    <t>=</t>
  </si>
  <si>
    <t>43 기타보조금수입</t>
  </si>
  <si>
    <t>432</t>
  </si>
  <si>
    <t>(기타보조금)</t>
  </si>
  <si>
    <t>44 후원금수입</t>
  </si>
  <si>
    <t>441</t>
  </si>
  <si>
    <t>05 차입금</t>
  </si>
  <si>
    <t>51 차입금</t>
  </si>
  <si>
    <t>06 전입금</t>
  </si>
  <si>
    <t>61 전입금</t>
  </si>
  <si>
    <t>07 이월금</t>
  </si>
  <si>
    <t>71 이월금</t>
  </si>
  <si>
    <t>712</t>
  </si>
  <si>
    <t>08 잡수입</t>
  </si>
  <si>
    <t>81 잡수입</t>
  </si>
  <si>
    <t>(불용품매각대)</t>
  </si>
  <si>
    <t>812</t>
  </si>
  <si>
    <t>813</t>
  </si>
  <si>
    <t>과  목</t>
  </si>
  <si>
    <t>금액</t>
  </si>
  <si>
    <t>(가족복지사업)</t>
  </si>
  <si>
    <t>(지역사회보호사업)</t>
  </si>
  <si>
    <t>(지역사회조직사업)</t>
  </si>
  <si>
    <t>214</t>
  </si>
  <si>
    <t xml:space="preserve">  재료비</t>
  </si>
  <si>
    <t>기본운영비</t>
  </si>
  <si>
    <t>전년도 이월금</t>
  </si>
  <si>
    <t>이자수입</t>
  </si>
  <si>
    <t xml:space="preserve">  회의 진행비</t>
  </si>
  <si>
    <t xml:space="preserve">  Supervisor 활동비</t>
  </si>
  <si>
    <t xml:space="preserve">  사회교육 강사비</t>
  </si>
  <si>
    <t xml:space="preserve">  사회교육 진행비</t>
  </si>
  <si>
    <t xml:space="preserve">  전문상담원 활동비</t>
  </si>
  <si>
    <t xml:space="preserve">  전문상담 진행비</t>
  </si>
  <si>
    <t xml:space="preserve">  사회조사 설문지 제작</t>
  </si>
  <si>
    <t xml:space="preserve">  사회조사자 활동비</t>
  </si>
  <si>
    <t xml:space="preserve">  사회조사결과물 제작비</t>
  </si>
  <si>
    <t xml:space="preserve">  홍보물 제작비</t>
  </si>
  <si>
    <t>* 결연서비스</t>
  </si>
  <si>
    <t>* 한부모가정 지원사업</t>
  </si>
  <si>
    <t xml:space="preserve">  문화체험학습 플랭카드제작</t>
  </si>
  <si>
    <t xml:space="preserve">  여행자 보험료</t>
  </si>
  <si>
    <t xml:space="preserve">  멘토링 간식비</t>
  </si>
  <si>
    <t xml:space="preserve">  가족캠프 평가회비</t>
  </si>
  <si>
    <t>* 학교사회사업</t>
  </si>
  <si>
    <t>* 정신지체장애인 사회적응프로그램</t>
  </si>
  <si>
    <t xml:space="preserve">  사회적응훈련비</t>
  </si>
  <si>
    <t xml:space="preserve">  자원봉사자 교육 자료집</t>
  </si>
  <si>
    <t xml:space="preserve">  자원봉자자 교육 진행비</t>
  </si>
  <si>
    <t xml:space="preserve">  자원봉사자 간담회 진행비</t>
  </si>
  <si>
    <t xml:space="preserve">  자원봉사자 피드백</t>
  </si>
  <si>
    <t xml:space="preserve">  결식아동급식 운영 및 물품구입</t>
  </si>
  <si>
    <t xml:space="preserve">  경로중식 운영 및 물품구입</t>
  </si>
  <si>
    <t xml:space="preserve">  건강식지원 운영 및 물품구입</t>
  </si>
  <si>
    <t xml:space="preserve">  밑반찬지원 운영 및 물품구입</t>
  </si>
  <si>
    <t xml:space="preserve">  유관기관 네트워크 회의 진행비</t>
  </si>
  <si>
    <t xml:space="preserve">  네트워크 회의 참석자 식사비</t>
  </si>
  <si>
    <t xml:space="preserve">  Case conference 회의 진행비</t>
  </si>
  <si>
    <t xml:space="preserve">  추진위원회 간담회</t>
  </si>
  <si>
    <t xml:space="preserve">  위원회 위촉패 제작</t>
  </si>
  <si>
    <t xml:space="preserve">  요보호대상자 문화체험 진행비</t>
  </si>
  <si>
    <t xml:space="preserve">  결식아동 체험학습 진행비</t>
  </si>
  <si>
    <t xml:space="preserve">  복지포럼 자료집</t>
  </si>
  <si>
    <t xml:space="preserve">  포럼 진행비</t>
  </si>
  <si>
    <t xml:space="preserve">  초청간담회 진행비</t>
  </si>
  <si>
    <t xml:space="preserve">  네트워크 모임 진행비</t>
  </si>
  <si>
    <t xml:space="preserve">  따뜻한 설명절 나누기</t>
  </si>
  <si>
    <t xml:space="preserve">  사랑의 추석봉지쌀 나누기</t>
  </si>
  <si>
    <t xml:space="preserve">  따뜻한 겨울나기</t>
  </si>
  <si>
    <t xml:space="preserve">  치지체계피드백 운영비</t>
  </si>
  <si>
    <t xml:space="preserve">  자조모임 임원간담회</t>
  </si>
  <si>
    <t xml:space="preserve">  체육활동</t>
  </si>
  <si>
    <t xml:space="preserve">  여가활동 및 체험학습</t>
  </si>
  <si>
    <t xml:space="preserve">  사회적응훈련</t>
  </si>
  <si>
    <t xml:space="preserve">  자조모임 평가회</t>
  </si>
  <si>
    <t xml:space="preserve">  자원봉사자피드백 운영비</t>
  </si>
  <si>
    <t xml:space="preserve">  장애인과 하나되는날 운영비</t>
  </si>
  <si>
    <t xml:space="preserve">  마을장터 진행비</t>
  </si>
  <si>
    <t xml:space="preserve">  장애체험 진행비</t>
  </si>
  <si>
    <t xml:space="preserve">  동네지킴이 진행비</t>
  </si>
  <si>
    <t xml:space="preserve">  사회적응훈련 및 체험학습</t>
  </si>
  <si>
    <t xml:space="preserve">  노인문제 설문진행비</t>
  </si>
  <si>
    <t xml:space="preserve">  자료집 발간</t>
  </si>
  <si>
    <t xml:space="preserve">  지지체계피드백 운영비</t>
  </si>
  <si>
    <t>* 지역사회자원개발 및 조직화 (뿌리깊은나무)</t>
  </si>
  <si>
    <t xml:space="preserve">  피드백 운영비</t>
  </si>
  <si>
    <t xml:space="preserve">  전문위원회 운영비</t>
  </si>
  <si>
    <t xml:space="preserve">  모금사업 활동비</t>
  </si>
  <si>
    <t xml:space="preserve">  홍보사업지원비</t>
  </si>
  <si>
    <t xml:space="preserve">* 지역사회운동 </t>
  </si>
  <si>
    <t xml:space="preserve">  복지마을캠페인</t>
  </si>
  <si>
    <t xml:space="preserve">  마을신문</t>
  </si>
  <si>
    <t xml:space="preserve">  주민복지지원비</t>
  </si>
  <si>
    <t>* 지역사회네트워크(행복한동행)</t>
  </si>
  <si>
    <t xml:space="preserve">  교육기관네트워크</t>
  </si>
  <si>
    <t xml:space="preserve">  복지관련기관네트워크</t>
  </si>
  <si>
    <t>* 새터민 지원사업 (어울림)</t>
  </si>
  <si>
    <t xml:space="preserve">  자원봉사활동 운영비</t>
  </si>
  <si>
    <t xml:space="preserve">  역량강화사업</t>
  </si>
  <si>
    <t xml:space="preserve">  간담회비</t>
  </si>
  <si>
    <t>* 생명시니어 동아리</t>
  </si>
  <si>
    <t>* 어린이 한자교실</t>
  </si>
  <si>
    <t xml:space="preserve">  후원자 피드백</t>
  </si>
  <si>
    <t>* 정보화 교실</t>
  </si>
  <si>
    <t>* 어린이 축구단</t>
  </si>
  <si>
    <t xml:space="preserve">  연합 체육대회 진행비</t>
  </si>
  <si>
    <t xml:space="preserve">  연합 축구대회 진행비</t>
  </si>
  <si>
    <t xml:space="preserve">  성탄선물 나누기 진행비</t>
  </si>
  <si>
    <t xml:space="preserve">  공동작업장 홍보비</t>
  </si>
  <si>
    <t xml:space="preserve">  선진기관 견학 차량비</t>
  </si>
  <si>
    <t xml:space="preserve">  선진기관견학 진행비</t>
  </si>
  <si>
    <t xml:space="preserve">  오리엔테이션 진행비</t>
  </si>
  <si>
    <t xml:space="preserve">  자립작업장 운영비</t>
  </si>
  <si>
    <t xml:space="preserve">  운영간담회 진행비</t>
  </si>
  <si>
    <t xml:space="preserve">  위탁관리 운영비</t>
  </si>
  <si>
    <t xml:space="preserve">  사회적응훈련 진행비</t>
  </si>
  <si>
    <t xml:space="preserve">  자활근로자 피드백 운영비</t>
  </si>
  <si>
    <t>예        산</t>
  </si>
  <si>
    <t>2006년(A)</t>
  </si>
  <si>
    <t>2007년(B)</t>
  </si>
  <si>
    <t>금  액</t>
  </si>
  <si>
    <t>과  목</t>
  </si>
  <si>
    <t>증  감</t>
  </si>
  <si>
    <t>세  입  내  역</t>
  </si>
  <si>
    <t>관</t>
  </si>
  <si>
    <t>항</t>
  </si>
  <si>
    <t>금액</t>
  </si>
  <si>
    <t>%</t>
  </si>
  <si>
    <t>전년도
예산액</t>
  </si>
  <si>
    <t>211</t>
  </si>
  <si>
    <t>예        산</t>
  </si>
  <si>
    <t>2006년(A)</t>
  </si>
  <si>
    <t>2007년(B)</t>
  </si>
  <si>
    <t>금  액</t>
  </si>
  <si>
    <t>100,000*1회</t>
  </si>
  <si>
    <t>50,000*4회</t>
  </si>
  <si>
    <t>&lt;재가복지봉사센터&gt;</t>
  </si>
  <si>
    <t>&lt;노인식사배달사업&gt;</t>
  </si>
  <si>
    <t>*6월</t>
  </si>
  <si>
    <t>1. 관장(21)</t>
  </si>
  <si>
    <t xml:space="preserve">   관장(22)</t>
  </si>
  <si>
    <t xml:space="preserve">   대리(10)</t>
  </si>
  <si>
    <t>5. 사회복지사(4)</t>
  </si>
  <si>
    <t xml:space="preserve">   사회복지사(5)</t>
  </si>
  <si>
    <t>6. 사회복지사(3)</t>
  </si>
  <si>
    <t>*12월</t>
  </si>
  <si>
    <t>*100%</t>
  </si>
  <si>
    <t>*90%</t>
  </si>
  <si>
    <t>*95%</t>
  </si>
  <si>
    <t>*65%</t>
  </si>
  <si>
    <t>*70%</t>
  </si>
  <si>
    <t>*60%*2월</t>
  </si>
  <si>
    <t>*200%</t>
  </si>
  <si>
    <t>*400%</t>
  </si>
  <si>
    <t xml:space="preserve">  직무수당</t>
  </si>
  <si>
    <t>*20%</t>
  </si>
  <si>
    <t>제수당</t>
  </si>
  <si>
    <t xml:space="preserve">  가계보조비</t>
  </si>
  <si>
    <t>*6명*12월</t>
  </si>
  <si>
    <t xml:space="preserve">  효도휴가비</t>
  </si>
  <si>
    <t>*50%</t>
  </si>
  <si>
    <t xml:space="preserve">  체력단련비</t>
  </si>
  <si>
    <t>*25%</t>
  </si>
  <si>
    <t xml:space="preserve">  가족수당</t>
  </si>
  <si>
    <t xml:space="preserve">  장기근속수당(사회복지사)</t>
  </si>
  <si>
    <t>*12월</t>
  </si>
  <si>
    <t>기본금*1/24</t>
  </si>
  <si>
    <t>* 연가보상일수</t>
  </si>
  <si>
    <t>08예산액</t>
  </si>
  <si>
    <t xml:space="preserve">  퇴직적립금</t>
  </si>
  <si>
    <t>사회보험부담금</t>
  </si>
  <si>
    <t>퇴직금 및 퇴직적립금</t>
  </si>
  <si>
    <t>기타후생경비</t>
  </si>
  <si>
    <t xml:space="preserve">  고용보험</t>
  </si>
  <si>
    <t xml:space="preserve">  교통비</t>
  </si>
  <si>
    <t xml:space="preserve">  급량비</t>
  </si>
  <si>
    <t>*12월</t>
  </si>
  <si>
    <t>*1/12</t>
  </si>
  <si>
    <t>*2.385%</t>
  </si>
  <si>
    <t>*4.5%</t>
  </si>
  <si>
    <t>*0.7%</t>
  </si>
  <si>
    <t>*0.64%</t>
  </si>
  <si>
    <t>(기관운영비)</t>
  </si>
  <si>
    <t xml:space="preserve">  기관운영비</t>
  </si>
  <si>
    <t xml:space="preserve">  업무추진비</t>
  </si>
  <si>
    <t>회의비</t>
  </si>
  <si>
    <t>직책보조비</t>
  </si>
  <si>
    <t xml:space="preserve">  직책보조비</t>
  </si>
  <si>
    <t xml:space="preserve">  관리자회의</t>
  </si>
  <si>
    <t xml:space="preserve">  팀회의</t>
  </si>
  <si>
    <t xml:space="preserve">  자원봉사자 및 후원자 간담회</t>
  </si>
  <si>
    <t xml:space="preserve">  운영위원회</t>
  </si>
  <si>
    <t xml:space="preserve">  기타 회의비</t>
  </si>
  <si>
    <t>*3팀*4월</t>
  </si>
  <si>
    <t>*4회</t>
  </si>
  <si>
    <t>여비</t>
  </si>
  <si>
    <t xml:space="preserve">  출장비</t>
  </si>
  <si>
    <t>수용비 및 수수료</t>
  </si>
  <si>
    <t xml:space="preserve">  사무용품비</t>
  </si>
  <si>
    <t xml:space="preserve">  기타수용비</t>
  </si>
  <si>
    <t>공공요금</t>
  </si>
  <si>
    <t xml:space="preserve">  전기안전공사검사비</t>
  </si>
  <si>
    <t xml:space="preserve">  전기요금</t>
  </si>
  <si>
    <t xml:space="preserve">  전화요금</t>
  </si>
  <si>
    <t xml:space="preserve">  도시가스비</t>
  </si>
  <si>
    <t xml:space="preserve">  건물관리비</t>
  </si>
  <si>
    <t>*1회</t>
  </si>
  <si>
    <t xml:space="preserve">   PC통신비</t>
  </si>
  <si>
    <t>제세공과금</t>
  </si>
  <si>
    <t xml:space="preserve">  실업극복시민운동협회비</t>
  </si>
  <si>
    <t xml:space="preserve">  한국사회복지관협회비</t>
  </si>
  <si>
    <t xml:space="preserve">  대전사회복지관협회비</t>
  </si>
  <si>
    <t xml:space="preserve">  대전사회복지협의회연회비</t>
  </si>
  <si>
    <t xml:space="preserve">  환경개선부담금</t>
  </si>
  <si>
    <t xml:space="preserve">  화재보험료(동산)</t>
  </si>
  <si>
    <t xml:space="preserve">  화재보험료(부동산)</t>
  </si>
  <si>
    <t xml:space="preserve">  영업배상책임보험</t>
  </si>
  <si>
    <t xml:space="preserve">  보증보험료</t>
  </si>
  <si>
    <t xml:space="preserve">  기타유관기관협회비</t>
  </si>
  <si>
    <t>*1회</t>
  </si>
  <si>
    <t>*2회</t>
  </si>
  <si>
    <t>차량비</t>
  </si>
  <si>
    <t xml:space="preserve">  국내외 교육 및 연수 참가비</t>
  </si>
  <si>
    <t>기타</t>
  </si>
  <si>
    <t xml:space="preserve">  시설수선비 등</t>
  </si>
  <si>
    <t>시설비</t>
  </si>
  <si>
    <t>자산취득비</t>
  </si>
  <si>
    <t xml:space="preserve">  복사기 구입</t>
  </si>
  <si>
    <t xml:space="preserve">  탁자, 의자 등 프로그램실 비품구입</t>
  </si>
  <si>
    <t>시설장비유지비</t>
  </si>
  <si>
    <t xml:space="preserve">  엘리베이터유지보수비 등</t>
  </si>
  <si>
    <t>1. 과장(21)</t>
  </si>
  <si>
    <t xml:space="preserve">   대리(11)</t>
  </si>
  <si>
    <t>정근수당( 2명)</t>
  </si>
  <si>
    <t>*100%*2월</t>
  </si>
  <si>
    <t>*95%</t>
  </si>
  <si>
    <t>기말수당( 2명)</t>
  </si>
  <si>
    <t>*400%</t>
  </si>
  <si>
    <t>*2명*12월</t>
  </si>
  <si>
    <t>*3명*12월</t>
  </si>
  <si>
    <t>*2명</t>
  </si>
  <si>
    <t xml:space="preserve">  자동차보험료</t>
  </si>
  <si>
    <t xml:space="preserve">  자동차세</t>
  </si>
  <si>
    <t xml:space="preserve">  자동차환경개선부담금</t>
  </si>
  <si>
    <t xml:space="preserve">  차량유류비</t>
  </si>
  <si>
    <t xml:space="preserve">  차량유지보수비</t>
  </si>
  <si>
    <t>1. 사회복지사(5)</t>
  </si>
  <si>
    <t>*75%</t>
  </si>
  <si>
    <t>*80%</t>
  </si>
  <si>
    <t xml:space="preserve">   사회복지사(6)</t>
  </si>
  <si>
    <t>*200%</t>
  </si>
  <si>
    <t>*1명*12월</t>
  </si>
  <si>
    <t>&lt;장애아동탁아방&gt;</t>
  </si>
  <si>
    <t>*10월</t>
  </si>
  <si>
    <t xml:space="preserve">  유급자원봉사자1</t>
  </si>
  <si>
    <t xml:space="preserve">  유급자원봉사자2</t>
  </si>
  <si>
    <t xml:space="preserve">  프로그램교재 및 재료비</t>
  </si>
  <si>
    <t xml:space="preserve">  미술치료강사비</t>
  </si>
  <si>
    <t xml:space="preserve">  음악치료강사비</t>
  </si>
  <si>
    <t xml:space="preserve">  연극치료강사비</t>
  </si>
  <si>
    <t>*월4회*10월</t>
  </si>
  <si>
    <t xml:space="preserve">  적응훈련</t>
  </si>
  <si>
    <t xml:space="preserve">  캠프</t>
  </si>
  <si>
    <t xml:space="preserve">  소풍</t>
  </si>
  <si>
    <t>*1회</t>
  </si>
  <si>
    <t xml:space="preserve">  간식비</t>
  </si>
  <si>
    <t>*12월</t>
  </si>
  <si>
    <t>그룹지도</t>
  </si>
  <si>
    <t>사회적응교육</t>
  </si>
  <si>
    <t>급식서비스</t>
  </si>
  <si>
    <t>부모교육</t>
  </si>
  <si>
    <t xml:space="preserve">  부모교육</t>
  </si>
  <si>
    <t>*1회</t>
  </si>
  <si>
    <t>1. 사회복지사(7)</t>
  </si>
  <si>
    <t>*80*2%</t>
  </si>
  <si>
    <t>상용직/목욕보조원</t>
  </si>
  <si>
    <t>*50%*2월</t>
  </si>
  <si>
    <t>&lt;이동목욕차량사업&gt;</t>
  </si>
  <si>
    <t>차량유지관리</t>
  </si>
  <si>
    <t>목욕서비스</t>
  </si>
  <si>
    <t>*6월</t>
  </si>
  <si>
    <t>*4회</t>
  </si>
  <si>
    <t xml:space="preserve">   목욕물품구입</t>
  </si>
  <si>
    <t xml:space="preserve">   가스구입</t>
  </si>
  <si>
    <t xml:space="preserve">   차량유류비</t>
  </si>
  <si>
    <t xml:space="preserve">   차량유지보수비</t>
  </si>
  <si>
    <t xml:space="preserve">  차량보험료</t>
  </si>
  <si>
    <t xml:space="preserve">  환경개선부담금</t>
  </si>
  <si>
    <t xml:space="preserve">  책임보험료</t>
  </si>
  <si>
    <t>*2회</t>
  </si>
  <si>
    <t xml:space="preserve">  장애인가정지원사업</t>
  </si>
  <si>
    <t xml:space="preserve">  만성질환자지원사업</t>
  </si>
  <si>
    <t>*5회</t>
  </si>
  <si>
    <t>*4회</t>
  </si>
  <si>
    <t>복지네트워크구축사업</t>
  </si>
  <si>
    <t>직업기능훈련</t>
  </si>
  <si>
    <t>직업능력개발</t>
  </si>
  <si>
    <t xml:space="preserve">  주부컴퓨터교실</t>
  </si>
  <si>
    <t>&lt;가족복지사업&gt;</t>
  </si>
  <si>
    <t>&lt;지역사회조직사업&gt;</t>
  </si>
  <si>
    <t>&lt;교육문화사업&gt;</t>
  </si>
  <si>
    <t>가족기능보완사업</t>
  </si>
  <si>
    <t>부양가족지원사업</t>
  </si>
  <si>
    <t>성인기능교육</t>
  </si>
  <si>
    <t>어르신여가문화사업</t>
  </si>
  <si>
    <t xml:space="preserve">  - 운영비 및 홍보비</t>
  </si>
  <si>
    <t xml:space="preserve">  가사도우미사업</t>
  </si>
  <si>
    <t xml:space="preserve">  - 가사도우미운영비</t>
  </si>
  <si>
    <t xml:space="preserve">  직업능력개발운영비</t>
  </si>
  <si>
    <t xml:space="preserve">  컴퓨터교실타자정보사냥대회</t>
  </si>
  <si>
    <t xml:space="preserve">  건강교실-요가</t>
  </si>
  <si>
    <t xml:space="preserve">  건강교실-사교댄스</t>
  </si>
  <si>
    <t xml:space="preserve">  건강교실-댄스스포츠</t>
  </si>
  <si>
    <t xml:space="preserve">  취미교실-홈패션</t>
  </si>
  <si>
    <t xml:space="preserve">  - 운영비 및 강사비</t>
  </si>
  <si>
    <t xml:space="preserve">  - 운영비 및 재료비</t>
  </si>
  <si>
    <t xml:space="preserve">  - 강사비</t>
  </si>
  <si>
    <t xml:space="preserve">  - 운영재료비</t>
  </si>
  <si>
    <t xml:space="preserve">  한글교실</t>
  </si>
  <si>
    <t xml:space="preserve">  </t>
  </si>
  <si>
    <t xml:space="preserve">  - 종강식 </t>
  </si>
  <si>
    <t xml:space="preserve">  - 문집제작비</t>
  </si>
  <si>
    <t xml:space="preserve">  청소년댄스동아리</t>
  </si>
  <si>
    <t xml:space="preserve">  - 운영비</t>
  </si>
  <si>
    <t xml:space="preserve">  청소년자원봉사체험</t>
  </si>
  <si>
    <t xml:space="preserve">  교육문화홍보</t>
  </si>
  <si>
    <t>*96회</t>
  </si>
  <si>
    <t>*64회</t>
  </si>
  <si>
    <t>*5월</t>
  </si>
  <si>
    <t>*20묶음</t>
  </si>
  <si>
    <t>*20권</t>
  </si>
  <si>
    <t>*25권</t>
  </si>
  <si>
    <t>*5권</t>
  </si>
  <si>
    <t>*7명*12월</t>
  </si>
  <si>
    <t>1. 생활지도원(5)</t>
  </si>
  <si>
    <t xml:space="preserve">   생활지도원(6)</t>
  </si>
  <si>
    <t>2. 간호조무사(3)</t>
  </si>
  <si>
    <t>*75%</t>
  </si>
  <si>
    <t>가계지원비( 2명)</t>
  </si>
  <si>
    <t>*50%*2</t>
  </si>
  <si>
    <t>*50%*4</t>
  </si>
  <si>
    <t>*60%*2</t>
  </si>
  <si>
    <t xml:space="preserve">  가계보조수당</t>
  </si>
  <si>
    <t>*2명*12월</t>
  </si>
  <si>
    <t xml:space="preserve">  명절휴가비(5)</t>
  </si>
  <si>
    <t xml:space="preserve">  명절휴가비(6)</t>
  </si>
  <si>
    <t xml:space="preserve">  명절휴가비(3)</t>
  </si>
  <si>
    <t xml:space="preserve">  생활지도원수당</t>
  </si>
  <si>
    <t xml:space="preserve">  간호조무사수당 </t>
  </si>
  <si>
    <t xml:space="preserve">  종사자특별수당</t>
  </si>
  <si>
    <t xml:space="preserve">  연차수당</t>
  </si>
  <si>
    <t>상용직/조리원</t>
  </si>
  <si>
    <t>*12월</t>
  </si>
  <si>
    <t>급여( 2명)</t>
  </si>
  <si>
    <t xml:space="preserve">  국민연금</t>
  </si>
  <si>
    <t>*4월</t>
  </si>
  <si>
    <t>*10월</t>
  </si>
  <si>
    <t>*12회</t>
  </si>
  <si>
    <t xml:space="preserve">  전기요금</t>
  </si>
  <si>
    <t xml:space="preserve">  유선요금</t>
  </si>
  <si>
    <t xml:space="preserve">  도시가스요금</t>
  </si>
  <si>
    <t xml:space="preserve">  전화요금</t>
  </si>
  <si>
    <t>*6회</t>
  </si>
  <si>
    <t>*12월</t>
  </si>
  <si>
    <t xml:space="preserve">  자동차세</t>
  </si>
  <si>
    <t xml:space="preserve">  자동차보험료</t>
  </si>
  <si>
    <t xml:space="preserve">  환경개선부담금</t>
  </si>
  <si>
    <t xml:space="preserve">  대전재가노인협회비</t>
  </si>
  <si>
    <t xml:space="preserve">  한국재가노인협회비</t>
  </si>
  <si>
    <t>*1회</t>
  </si>
  <si>
    <t>*2회</t>
  </si>
  <si>
    <t>*4회</t>
  </si>
  <si>
    <t>31 운영비</t>
  </si>
  <si>
    <t>311</t>
  </si>
  <si>
    <t>(생계비)</t>
  </si>
  <si>
    <t>생계비</t>
  </si>
  <si>
    <t xml:space="preserve">  주부식비</t>
  </si>
  <si>
    <t>*12월</t>
  </si>
  <si>
    <t>318</t>
  </si>
  <si>
    <t>(특별급식비)</t>
  </si>
  <si>
    <t>특별급식비</t>
  </si>
  <si>
    <t xml:space="preserve">  간식비</t>
  </si>
  <si>
    <t>335</t>
  </si>
  <si>
    <t>(사업비)</t>
  </si>
  <si>
    <t>사업비</t>
  </si>
  <si>
    <t xml:space="preserve">  재활서비스</t>
  </si>
  <si>
    <t xml:space="preserve">  사회적서비스</t>
  </si>
  <si>
    <t xml:space="preserve">  연계서비스</t>
  </si>
  <si>
    <t>*12월</t>
  </si>
  <si>
    <t>*10월</t>
  </si>
  <si>
    <t>*1월</t>
  </si>
  <si>
    <t>*5월</t>
  </si>
  <si>
    <t>예비비</t>
  </si>
  <si>
    <t xml:space="preserve">  건강보험료</t>
  </si>
  <si>
    <t xml:space="preserve">  산재보험</t>
  </si>
  <si>
    <t>01 입소자부담금</t>
  </si>
  <si>
    <t>11 입소비용수입</t>
  </si>
  <si>
    <t>(입소비용수입)</t>
  </si>
  <si>
    <t>입소자비용수입</t>
  </si>
  <si>
    <t>*9명*12</t>
  </si>
  <si>
    <t>(사업수입)</t>
  </si>
  <si>
    <t>05 차입금</t>
  </si>
  <si>
    <t>`</t>
  </si>
  <si>
    <t>*6회</t>
  </si>
  <si>
    <t>2. 사회복지사(5)</t>
  </si>
  <si>
    <t>*70%*2월</t>
  </si>
  <si>
    <t>3. 대리(10)</t>
  </si>
  <si>
    <t>4. 대리(9)</t>
  </si>
  <si>
    <t>*100</t>
  </si>
  <si>
    <t>2. 부장(14)</t>
  </si>
  <si>
    <t xml:space="preserve">  사회복지사(5)</t>
  </si>
  <si>
    <t>*70%</t>
  </si>
  <si>
    <t>방과후교실참가비</t>
  </si>
  <si>
    <t>*20명</t>
  </si>
  <si>
    <t>그룹교육비</t>
  </si>
  <si>
    <t>그룹미술치료비</t>
  </si>
  <si>
    <t>그룹음악치료비</t>
  </si>
  <si>
    <t>캠프참가비</t>
  </si>
  <si>
    <t>*7명*10월</t>
  </si>
  <si>
    <t>*15명</t>
  </si>
  <si>
    <t>실습생지도사업</t>
  </si>
  <si>
    <t>기금조성사업</t>
  </si>
  <si>
    <t>아동청소년컴퓨터교실</t>
  </si>
  <si>
    <t>08예산액</t>
  </si>
  <si>
    <t>*10명*12월</t>
  </si>
  <si>
    <t>성인기능교실(건강교실)</t>
  </si>
  <si>
    <t>성인기능교실(취미교실)</t>
  </si>
  <si>
    <t>*32명</t>
  </si>
  <si>
    <t>&lt;자활사업&gt;</t>
  </si>
  <si>
    <t>주부컴퓨터교실</t>
  </si>
  <si>
    <t>*4명*12월</t>
  </si>
  <si>
    <t>(사회복지관운영비)</t>
  </si>
  <si>
    <t>412</t>
  </si>
  <si>
    <t>(프로그램운영비)</t>
  </si>
  <si>
    <t>(종사자특별수당)</t>
  </si>
  <si>
    <t>종사자특별수당</t>
  </si>
  <si>
    <t>*6명*12월</t>
  </si>
  <si>
    <t>*2명*12월</t>
  </si>
  <si>
    <t>*1명*12월</t>
  </si>
  <si>
    <t xml:space="preserve">  사회복지관</t>
  </si>
  <si>
    <t xml:space="preserve">  재가복지봉사센터</t>
  </si>
  <si>
    <t xml:space="preserve">  장애아동탁아방</t>
  </si>
  <si>
    <t xml:space="preserve">  이동목욕차량</t>
  </si>
  <si>
    <t>사회복지관운영비</t>
  </si>
  <si>
    <t>432</t>
  </si>
  <si>
    <t>사회복지관 비지정후원금</t>
  </si>
  <si>
    <t>사회복지관이월금</t>
  </si>
  <si>
    <t>(전년도이월금)</t>
  </si>
  <si>
    <t>재가복지봉사센터이월금</t>
  </si>
  <si>
    <t>사회복지관 이자수입</t>
  </si>
  <si>
    <t>&lt;사회복지관&gt;</t>
  </si>
  <si>
    <t>급여(10명)</t>
  </si>
  <si>
    <t>상여금(10명)</t>
  </si>
  <si>
    <t>&lt;사회복지관/정근수당&gt;</t>
  </si>
  <si>
    <t>&lt;이동목욕/정근수당&gt;</t>
  </si>
  <si>
    <t>&lt;장애아동탁아방/정근수당&gt;</t>
  </si>
  <si>
    <t>&lt;재가복지센터/정근수당&gt;</t>
  </si>
  <si>
    <t>&lt;사회복지관/기말수당&gt;</t>
  </si>
  <si>
    <t>&lt;재가복지센터/기말수당&gt;</t>
  </si>
  <si>
    <t>&lt;장애아동탁아방/기말수당&gt;</t>
  </si>
  <si>
    <t>&lt;이동목욕/기말수당&gt;</t>
  </si>
  <si>
    <t>제수당</t>
  </si>
  <si>
    <t xml:space="preserve">  직무수당</t>
  </si>
  <si>
    <t>*20%</t>
  </si>
  <si>
    <t xml:space="preserve">  가계보조비</t>
  </si>
  <si>
    <t>*6명*12월</t>
  </si>
  <si>
    <t xml:space="preserve">  효도휴가비</t>
  </si>
  <si>
    <t>*50%</t>
  </si>
  <si>
    <t xml:space="preserve">  체력단련비</t>
  </si>
  <si>
    <t>*25%</t>
  </si>
  <si>
    <t xml:space="preserve">  가족수당</t>
  </si>
  <si>
    <t>*14명*12월</t>
  </si>
  <si>
    <t xml:space="preserve">  장기근속수당(관장)</t>
  </si>
  <si>
    <t>*6월</t>
  </si>
  <si>
    <t xml:space="preserve">  장기근속수당(부장)</t>
  </si>
  <si>
    <t>*12월</t>
  </si>
  <si>
    <t xml:space="preserve">  장기근속수당(대리)</t>
  </si>
  <si>
    <t xml:space="preserve">  장기근속수당(사회복지사)</t>
  </si>
  <si>
    <t xml:space="preserve">  직책수당(관장)</t>
  </si>
  <si>
    <t xml:space="preserve">  직책수당(부장)</t>
  </si>
  <si>
    <t xml:space="preserve">  직책수당(대리)</t>
  </si>
  <si>
    <t>*2명*12월</t>
  </si>
  <si>
    <t xml:space="preserve">  종사자특별수당</t>
  </si>
  <si>
    <t>**6명*12월</t>
  </si>
  <si>
    <t xml:space="preserve">   연차수당</t>
  </si>
  <si>
    <t>기본금*1/24</t>
  </si>
  <si>
    <t>* 연가보상일수</t>
  </si>
  <si>
    <t xml:space="preserve">  직무수당</t>
  </si>
  <si>
    <t>*20%</t>
  </si>
  <si>
    <t>=</t>
  </si>
  <si>
    <t xml:space="preserve">  가계보조비</t>
  </si>
  <si>
    <t>*2명*12월</t>
  </si>
  <si>
    <t xml:space="preserve">  효도휴가비</t>
  </si>
  <si>
    <t>*50%*2명</t>
  </si>
  <si>
    <t xml:space="preserve">  체력단련비</t>
  </si>
  <si>
    <t>*25%*2명</t>
  </si>
  <si>
    <t xml:space="preserve">  가족수당</t>
  </si>
  <si>
    <t xml:space="preserve">  장기근속수당(과장)</t>
  </si>
  <si>
    <t>*12월</t>
  </si>
  <si>
    <t xml:space="preserve">  장기근속수당(사회복지사)</t>
  </si>
  <si>
    <t xml:space="preserve">  직책수당(과장)</t>
  </si>
  <si>
    <t xml:space="preserve">  종사자특별수당</t>
  </si>
  <si>
    <t xml:space="preserve">   연차수당</t>
  </si>
  <si>
    <t>기본금*1/24</t>
  </si>
  <si>
    <t>* 연가보상일수</t>
  </si>
  <si>
    <t xml:space="preserve">  종사자특별수당</t>
  </si>
  <si>
    <t>*50%*2월</t>
  </si>
  <si>
    <t>*25%*2월</t>
  </si>
  <si>
    <t xml:space="preserve">  퇴직적립금</t>
  </si>
  <si>
    <t>*1/12</t>
  </si>
  <si>
    <t>=</t>
  </si>
  <si>
    <t>&lt;이동목욕차&gt;</t>
  </si>
  <si>
    <t xml:space="preserve">  건강보험료</t>
  </si>
  <si>
    <t>*2.385%</t>
  </si>
  <si>
    <t>=</t>
  </si>
  <si>
    <t xml:space="preserve">  국민연금</t>
  </si>
  <si>
    <t>*4.5%</t>
  </si>
  <si>
    <t xml:space="preserve">  고용보험</t>
  </si>
  <si>
    <t>*0.7%</t>
  </si>
  <si>
    <t xml:space="preserve">  산재보험</t>
  </si>
  <si>
    <t>*0.64%</t>
  </si>
  <si>
    <t xml:space="preserve">  건강보험료</t>
  </si>
  <si>
    <t>*2.385%</t>
  </si>
  <si>
    <t xml:space="preserve">  국민연금</t>
  </si>
  <si>
    <t>*4.5%</t>
  </si>
  <si>
    <t xml:space="preserve">  고용보험</t>
  </si>
  <si>
    <t>*0.7%</t>
  </si>
  <si>
    <t xml:space="preserve">  산재보험</t>
  </si>
  <si>
    <t>*0.64%</t>
  </si>
  <si>
    <t xml:space="preserve">  급량비</t>
  </si>
  <si>
    <t xml:space="preserve">  교통비</t>
  </si>
  <si>
    <t xml:space="preserve">  야근식대비</t>
  </si>
  <si>
    <t>기타경비</t>
  </si>
  <si>
    <t>&lt;재가복지봉사센터&gt;</t>
  </si>
  <si>
    <t>가족복지사업</t>
  </si>
  <si>
    <t>*3회</t>
  </si>
  <si>
    <t>*2</t>
  </si>
  <si>
    <t>*6</t>
  </si>
  <si>
    <t xml:space="preserve">  -장애인문화체험</t>
  </si>
  <si>
    <t xml:space="preserve">  -물품지원</t>
  </si>
  <si>
    <t>&lt;원어민영어교실&gt;</t>
  </si>
  <si>
    <t>&lt;수호천사멘토링사업&gt;</t>
  </si>
  <si>
    <t>&lt;장애인정보화교육사업&gt;</t>
  </si>
  <si>
    <t>지역사회보호사업</t>
  </si>
  <si>
    <t>&lt;경로식당&gt;</t>
  </si>
  <si>
    <t>*21회</t>
  </si>
  <si>
    <t>보건의료서비스</t>
  </si>
  <si>
    <t xml:space="preserve">  보건교육 현수막제작</t>
  </si>
  <si>
    <t xml:space="preserve">  생활비 및 긴급지원사업</t>
  </si>
  <si>
    <t>가사서비스</t>
  </si>
  <si>
    <t xml:space="preserve">  청소물품구입</t>
  </si>
  <si>
    <t>환경개선서비스</t>
  </si>
  <si>
    <t xml:space="preserve">  씽크대교체 등</t>
  </si>
  <si>
    <t>*4세대</t>
  </si>
  <si>
    <t>대상자관리사업</t>
  </si>
  <si>
    <t>가사서비스사업</t>
  </si>
  <si>
    <t>의료서비스사업</t>
  </si>
  <si>
    <t>자원봉사자양성.관리사업</t>
  </si>
  <si>
    <t>결연사업및 후원활동</t>
  </si>
  <si>
    <t>주민교육사업</t>
  </si>
  <si>
    <t xml:space="preserve">  운영재료비</t>
  </si>
  <si>
    <t xml:space="preserve">  이미용서비스재료비</t>
  </si>
  <si>
    <t xml:space="preserve">  강사비</t>
  </si>
  <si>
    <t xml:space="preserve">  후원자관리운영비</t>
  </si>
  <si>
    <t xml:space="preserve">  한국복지재단결연금지급</t>
  </si>
  <si>
    <t xml:space="preserve">  복지관결연금지급</t>
  </si>
  <si>
    <t xml:space="preserve">  건강교육운영재료비</t>
  </si>
  <si>
    <t>*12회</t>
  </si>
  <si>
    <t>경제적지원</t>
  </si>
  <si>
    <t>정서서비스</t>
  </si>
  <si>
    <t xml:space="preserve">  나들이</t>
  </si>
  <si>
    <t>가족관계증진사업</t>
  </si>
  <si>
    <t xml:space="preserve">  부모교육</t>
  </si>
  <si>
    <t xml:space="preserve">  아동심리검사비</t>
  </si>
  <si>
    <t xml:space="preserve">  부모심리검사비</t>
  </si>
  <si>
    <t xml:space="preserve">  방과후교육재료비</t>
  </si>
  <si>
    <t xml:space="preserve">  간식비</t>
  </si>
  <si>
    <t xml:space="preserve">  현장학습</t>
  </si>
  <si>
    <t xml:space="preserve">  특별활동</t>
  </si>
  <si>
    <t xml:space="preserve">  미술활동</t>
  </si>
  <si>
    <t xml:space="preserve">  인터넷중독해결</t>
  </si>
  <si>
    <t xml:space="preserve">  유급자원봉사자활동비</t>
  </si>
  <si>
    <t xml:space="preserve">  청소년열린교실</t>
  </si>
  <si>
    <t xml:space="preserve">  - 교재비</t>
  </si>
  <si>
    <t xml:space="preserve">  - 간식비</t>
  </si>
  <si>
    <t xml:space="preserve">  - 진로탐색프로그램</t>
  </si>
  <si>
    <t>가정문제해결치료사업</t>
  </si>
  <si>
    <t xml:space="preserve">  수호천사멘토링사업</t>
  </si>
  <si>
    <t xml:space="preserve">  장애아동통합교육</t>
  </si>
  <si>
    <t>&lt;사랑의저녁도시락&gt;</t>
  </si>
  <si>
    <t>지역사회조직사업</t>
  </si>
  <si>
    <t>주민조직강화 및 교육사업</t>
  </si>
  <si>
    <t xml:space="preserve">  우정회 장애우 자조모임</t>
  </si>
  <si>
    <t xml:space="preserve">  장애인 사회적응캠프</t>
  </si>
  <si>
    <t xml:space="preserve">  지역주민욕구조사</t>
  </si>
  <si>
    <t xml:space="preserve">  실습생지도사업</t>
  </si>
  <si>
    <t>주민복지증진사업</t>
  </si>
  <si>
    <t xml:space="preserve">  둔산어르신한마당잔치</t>
  </si>
  <si>
    <t xml:space="preserve">  사랑의김장나누기</t>
  </si>
  <si>
    <t xml:space="preserve">  설맞이잔치</t>
  </si>
  <si>
    <t xml:space="preserve">  한가위잔치</t>
  </si>
  <si>
    <t xml:space="preserve">  소식지제작</t>
  </si>
  <si>
    <t xml:space="preserve">  홈페이지관리사업</t>
  </si>
  <si>
    <t xml:space="preserve">  지역주민편의시설제공</t>
  </si>
  <si>
    <t xml:space="preserve">  자원봉사자관리</t>
  </si>
  <si>
    <t xml:space="preserve">  자원봉사자교육</t>
  </si>
  <si>
    <t xml:space="preserve">  자원봉사자캠프</t>
  </si>
  <si>
    <t xml:space="preserve">  후원자개발및관리</t>
  </si>
  <si>
    <t xml:space="preserve">  후원물품개발및관리</t>
  </si>
  <si>
    <t>*1</t>
  </si>
  <si>
    <t>*5</t>
  </si>
  <si>
    <t>교육문화사업</t>
  </si>
  <si>
    <t>&lt;경로당활성화사업&gt;</t>
  </si>
  <si>
    <t>&lt;마음을여는은빛교실&gt;</t>
  </si>
  <si>
    <t>*3월</t>
  </si>
  <si>
    <t>아동청소년 기능교육</t>
  </si>
  <si>
    <t xml:space="preserve">  한자교실</t>
  </si>
  <si>
    <t xml:space="preserve">  외국어</t>
  </si>
  <si>
    <t>문화복지사업</t>
  </si>
  <si>
    <t>취업알선</t>
  </si>
  <si>
    <t>*80명</t>
  </si>
  <si>
    <t>법인전입금</t>
  </si>
  <si>
    <t xml:space="preserve">  퇴직충당금</t>
  </si>
  <si>
    <t>31 운영비</t>
  </si>
  <si>
    <t>319</t>
  </si>
  <si>
    <t>연료비</t>
  </si>
  <si>
    <t>재원구성</t>
  </si>
  <si>
    <t>국비</t>
  </si>
  <si>
    <t>시비</t>
  </si>
  <si>
    <t>구비</t>
  </si>
  <si>
    <t>후원금</t>
  </si>
  <si>
    <t>전입금</t>
  </si>
  <si>
    <t>입소비용수입</t>
  </si>
  <si>
    <t>기타</t>
  </si>
  <si>
    <t>검산</t>
  </si>
  <si>
    <t xml:space="preserve">     단위(천원)</t>
  </si>
  <si>
    <t>재원구성</t>
  </si>
  <si>
    <t>국비</t>
  </si>
  <si>
    <t>시비</t>
  </si>
  <si>
    <t>구비</t>
  </si>
  <si>
    <t>후원금</t>
  </si>
  <si>
    <t>전입금</t>
  </si>
  <si>
    <t>기타</t>
  </si>
  <si>
    <t>검산</t>
  </si>
  <si>
    <t xml:space="preserve">     단위(천원)</t>
  </si>
  <si>
    <t>재원구성</t>
  </si>
  <si>
    <t>시비</t>
  </si>
  <si>
    <t>구비</t>
  </si>
  <si>
    <t>후원금</t>
  </si>
  <si>
    <t>전입금</t>
  </si>
  <si>
    <t>입소비용수입</t>
  </si>
  <si>
    <t>기타</t>
  </si>
  <si>
    <t>검산</t>
  </si>
  <si>
    <t>사업수입</t>
  </si>
  <si>
    <t>413</t>
  </si>
  <si>
    <t>414</t>
  </si>
  <si>
    <t>415</t>
  </si>
  <si>
    <t>(재가복지운영비)</t>
  </si>
  <si>
    <t>(이동목욕차운영비)</t>
  </si>
  <si>
    <t>사회복지관운영비</t>
  </si>
  <si>
    <t>재가복지봉사센터운영비</t>
  </si>
  <si>
    <t>장애아동탁아방운영비</t>
  </si>
  <si>
    <t>이동목욕차운영비</t>
  </si>
  <si>
    <t>416</t>
  </si>
  <si>
    <t>417</t>
  </si>
  <si>
    <t>418</t>
  </si>
  <si>
    <t>(경로식당)</t>
  </si>
  <si>
    <t>경로식당사업비</t>
  </si>
  <si>
    <t>(재가노인식사배달)</t>
  </si>
  <si>
    <t>재가노인식사배달사업비</t>
  </si>
  <si>
    <t>419</t>
  </si>
  <si>
    <t>(사랑의저녁도시락)</t>
  </si>
  <si>
    <t>사랑의저녁도시락</t>
  </si>
  <si>
    <t>(경로당활성화사업)</t>
  </si>
  <si>
    <t>경로당활성화사업</t>
  </si>
  <si>
    <t>재가복지 지정후원금(결연후원)</t>
  </si>
  <si>
    <t>재가복지 비지정후원금</t>
  </si>
  <si>
    <t>(새터민지원사업)</t>
  </si>
  <si>
    <t>장애인정보화사업비</t>
  </si>
  <si>
    <t>마음을여는은빛교실</t>
  </si>
  <si>
    <t>수호천사멘토링사업</t>
  </si>
  <si>
    <t>원어민영어교실</t>
  </si>
  <si>
    <t>재가복지 이자수입</t>
  </si>
  <si>
    <t>(장애아동운영비)</t>
  </si>
  <si>
    <t>410</t>
  </si>
  <si>
    <t>분권</t>
  </si>
  <si>
    <t>분권</t>
  </si>
  <si>
    <t>2008년도 둔산노인복지센터 세입예산서</t>
  </si>
  <si>
    <t>2008년도 둔산종합사회복지관 세입예산서</t>
  </si>
  <si>
    <t>2008년도 둔산종합사회복지관 세출예산서</t>
  </si>
  <si>
    <t>2008년도 둔산노인복지센터 세출예산서</t>
  </si>
  <si>
    <t>사회복지관(7,900)           재가센터(516)</t>
  </si>
</sst>
</file>

<file path=xl/styles.xml><?xml version="1.0" encoding="utf-8"?>
<styleSheet xmlns="http://schemas.openxmlformats.org/spreadsheetml/2006/main">
  <numFmts count="4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_-* #,##0.0\ _p_t_a_-;\-* #,##0.0\ _p_t_a_-;_-* &quot;-&quot;\ _p_t_a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0.0%"/>
    <numFmt numFmtId="190" formatCode="0_);[Red]\(0\)"/>
    <numFmt numFmtId="191" formatCode="#,##0.0_ "/>
    <numFmt numFmtId="192" formatCode="[$-412]AM/PM\ h:mm:ss"/>
    <numFmt numFmtId="193" formatCode="[$-412]yyyy&quot;년&quot;\ m&quot;월&quot;\ d&quot;일&quot;\ dddd"/>
    <numFmt numFmtId="194" formatCode="&quot;\&quot;#,##0_);[Red]\(&quot;\&quot;#,##0\)"/>
    <numFmt numFmtId="195" formatCode="&quot;△&quot;#,##0_ "/>
    <numFmt numFmtId="196" formatCode="0.0_ "/>
    <numFmt numFmtId="197" formatCode="0.0_);&quot;△&quot;0.0"/>
    <numFmt numFmtId="198" formatCode="0.0_);&quot;△&quot;0.0%"/>
    <numFmt numFmtId="199" formatCode="0.0_);&quot;△&quot;0.00%"/>
    <numFmt numFmtId="200" formatCode="&quot;△&quot;"/>
    <numFmt numFmtId="201" formatCode="0.0_);&quot;△&quot;0"/>
    <numFmt numFmtId="202" formatCode="0.0_);&quot;△&quot;"/>
    <numFmt numFmtId="203" formatCode="#,##0_);[Red]\(#,##0\)"/>
    <numFmt numFmtId="204" formatCode="&quot;△&quot;\,##"/>
    <numFmt numFmtId="205" formatCode="&quot;△&quot;##"/>
    <numFmt numFmtId="206" formatCode="#,##0_);&quot;△&quot;#,##0"/>
    <numFmt numFmtId="207" formatCode="&quot;\&quot;#,##0.000_);[Red]\(&quot;\&quot;#,##0.000\)"/>
  </numFmts>
  <fonts count="20">
    <font>
      <sz val="11"/>
      <name val="돋움"/>
      <family val="3"/>
    </font>
    <font>
      <sz val="8"/>
      <name val="돋움"/>
      <family val="3"/>
    </font>
    <font>
      <sz val="11"/>
      <name val="휴먼태가람체"/>
      <family val="3"/>
    </font>
    <font>
      <sz val="9"/>
      <name val="돋움"/>
      <family val="3"/>
    </font>
    <font>
      <u val="single"/>
      <sz val="9.9"/>
      <color indexed="12"/>
      <name val="돋움"/>
      <family val="3"/>
    </font>
    <font>
      <u val="single"/>
      <sz val="9.9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9"/>
      <color indexed="12"/>
      <name val="돋움"/>
      <family val="3"/>
    </font>
    <font>
      <b/>
      <sz val="20"/>
      <name val="굴림체"/>
      <family val="3"/>
    </font>
    <font>
      <b/>
      <sz val="10"/>
      <name val="바탕체"/>
      <family val="1"/>
    </font>
    <font>
      <sz val="10"/>
      <name val="바탕"/>
      <family val="1"/>
    </font>
    <font>
      <sz val="9"/>
      <name val="바탕"/>
      <family val="1"/>
    </font>
    <font>
      <b/>
      <sz val="10"/>
      <name val="바탕"/>
      <family val="1"/>
    </font>
    <font>
      <sz val="9"/>
      <name val="바탕체"/>
      <family val="1"/>
    </font>
    <font>
      <b/>
      <sz val="9"/>
      <name val="바탕체"/>
      <family val="1"/>
    </font>
    <font>
      <b/>
      <sz val="9"/>
      <name val="바탕"/>
      <family val="1"/>
    </font>
    <font>
      <sz val="9"/>
      <color indexed="12"/>
      <name val="바탕"/>
      <family val="1"/>
    </font>
    <font>
      <sz val="7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8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2" borderId="8" xfId="0" applyNumberFormat="1" applyFont="1" applyFill="1" applyBorder="1" applyAlignment="1">
      <alignment horizontal="left" vertical="center" shrinkToFit="1"/>
    </xf>
    <xf numFmtId="49" fontId="6" fillId="2" borderId="7" xfId="0" applyNumberFormat="1" applyFont="1" applyFill="1" applyBorder="1" applyAlignment="1">
      <alignment horizontal="left"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49" fontId="6" fillId="0" borderId="7" xfId="0" applyNumberFormat="1" applyFont="1" applyFill="1" applyBorder="1" applyAlignment="1">
      <alignment horizontal="left" vertical="center" shrinkToFit="1"/>
    </xf>
    <xf numFmtId="49" fontId="6" fillId="0" borderId="9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188" fontId="6" fillId="0" borderId="11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shrinkToFit="1"/>
    </xf>
    <xf numFmtId="49" fontId="6" fillId="0" borderId="14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188" fontId="6" fillId="0" borderId="15" xfId="0" applyNumberFormat="1" applyFont="1" applyFill="1" applyBorder="1" applyAlignment="1">
      <alignment horizontal="center" vertical="center"/>
    </xf>
    <xf numFmtId="188" fontId="6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17" xfId="0" applyNumberFormat="1" applyFont="1" applyBorder="1" applyAlignment="1">
      <alignment horizontal="left" vertical="center" shrinkToFit="1"/>
    </xf>
    <xf numFmtId="188" fontId="6" fillId="3" borderId="18" xfId="0" applyNumberFormat="1" applyFont="1" applyFill="1" applyBorder="1" applyAlignment="1">
      <alignment horizontal="center" vertical="center"/>
    </xf>
    <xf numFmtId="188" fontId="6" fillId="3" borderId="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188" fontId="6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9" fontId="1" fillId="0" borderId="20" xfId="0" applyNumberFormat="1" applyFont="1" applyBorder="1" applyAlignment="1">
      <alignment vertical="center"/>
    </xf>
    <xf numFmtId="189" fontId="1" fillId="3" borderId="21" xfId="0" applyNumberFormat="1" applyFont="1" applyFill="1" applyBorder="1" applyAlignment="1">
      <alignment vertical="center"/>
    </xf>
    <xf numFmtId="189" fontId="1" fillId="4" borderId="22" xfId="0" applyNumberFormat="1" applyFont="1" applyFill="1" applyBorder="1" applyAlignment="1">
      <alignment vertical="center"/>
    </xf>
    <xf numFmtId="189" fontId="1" fillId="0" borderId="23" xfId="0" applyNumberFormat="1" applyFont="1" applyBorder="1" applyAlignment="1">
      <alignment vertical="center"/>
    </xf>
    <xf numFmtId="189" fontId="1" fillId="0" borderId="24" xfId="0" applyNumberFormat="1" applyFont="1" applyBorder="1" applyAlignment="1">
      <alignment vertical="center"/>
    </xf>
    <xf numFmtId="189" fontId="1" fillId="0" borderId="25" xfId="0" applyNumberFormat="1" applyFont="1" applyBorder="1" applyAlignment="1">
      <alignment vertical="center"/>
    </xf>
    <xf numFmtId="189" fontId="1" fillId="3" borderId="22" xfId="0" applyNumberFormat="1" applyFont="1" applyFill="1" applyBorder="1" applyAlignment="1">
      <alignment vertical="center"/>
    </xf>
    <xf numFmtId="189" fontId="1" fillId="0" borderId="21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9" fontId="1" fillId="0" borderId="6" xfId="0" applyNumberFormat="1" applyFont="1" applyBorder="1" applyAlignment="1">
      <alignment vertical="center"/>
    </xf>
    <xf numFmtId="189" fontId="1" fillId="0" borderId="7" xfId="0" applyNumberFormat="1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189" fontId="1" fillId="0" borderId="8" xfId="0" applyNumberFormat="1" applyFont="1" applyBorder="1" applyAlignment="1">
      <alignment vertical="center"/>
    </xf>
    <xf numFmtId="189" fontId="1" fillId="0" borderId="1" xfId="0" applyNumberFormat="1" applyFont="1" applyBorder="1" applyAlignment="1">
      <alignment vertical="center"/>
    </xf>
    <xf numFmtId="189" fontId="1" fillId="0" borderId="2" xfId="0" applyNumberFormat="1" applyFont="1" applyBorder="1" applyAlignment="1">
      <alignment vertical="center"/>
    </xf>
    <xf numFmtId="189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89" fontId="1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9" fontId="1" fillId="0" borderId="27" xfId="0" applyNumberFormat="1" applyFont="1" applyBorder="1" applyAlignment="1">
      <alignment vertical="center"/>
    </xf>
    <xf numFmtId="181" fontId="3" fillId="0" borderId="0" xfId="17" applyFont="1" applyAlignment="1">
      <alignment horizontal="center" vertical="center"/>
    </xf>
    <xf numFmtId="181" fontId="3" fillId="0" borderId="0" xfId="17" applyFont="1" applyAlignment="1">
      <alignment vertical="center"/>
    </xf>
    <xf numFmtId="188" fontId="3" fillId="0" borderId="20" xfId="17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right" vertical="center"/>
    </xf>
    <xf numFmtId="188" fontId="3" fillId="3" borderId="21" xfId="17" applyNumberFormat="1" applyFont="1" applyFill="1" applyBorder="1" applyAlignment="1">
      <alignment horizontal="right" vertical="center"/>
    </xf>
    <xf numFmtId="188" fontId="3" fillId="3" borderId="21" xfId="0" applyNumberFormat="1" applyFont="1" applyFill="1" applyBorder="1" applyAlignment="1">
      <alignment horizontal="right" vertical="center"/>
    </xf>
    <xf numFmtId="188" fontId="3" fillId="4" borderId="22" xfId="17" applyNumberFormat="1" applyFont="1" applyFill="1" applyBorder="1" applyAlignment="1">
      <alignment horizontal="right" vertical="center"/>
    </xf>
    <xf numFmtId="188" fontId="3" fillId="4" borderId="22" xfId="0" applyNumberFormat="1" applyFont="1" applyFill="1" applyBorder="1" applyAlignment="1">
      <alignment horizontal="right" vertical="center"/>
    </xf>
    <xf numFmtId="188" fontId="3" fillId="0" borderId="23" xfId="17" applyNumberFormat="1" applyFont="1" applyBorder="1" applyAlignment="1">
      <alignment horizontal="right" vertical="center"/>
    </xf>
    <xf numFmtId="188" fontId="3" fillId="0" borderId="23" xfId="0" applyNumberFormat="1" applyFont="1" applyBorder="1" applyAlignment="1">
      <alignment horizontal="right" vertical="center"/>
    </xf>
    <xf numFmtId="188" fontId="3" fillId="0" borderId="24" xfId="17" applyNumberFormat="1" applyFont="1" applyBorder="1" applyAlignment="1">
      <alignment horizontal="right" vertical="center"/>
    </xf>
    <xf numFmtId="188" fontId="3" fillId="0" borderId="24" xfId="0" applyNumberFormat="1" applyFont="1" applyBorder="1" applyAlignment="1">
      <alignment horizontal="right" vertical="center"/>
    </xf>
    <xf numFmtId="188" fontId="3" fillId="0" borderId="25" xfId="17" applyNumberFormat="1" applyFont="1" applyBorder="1" applyAlignment="1">
      <alignment horizontal="right" vertical="center"/>
    </xf>
    <xf numFmtId="188" fontId="3" fillId="0" borderId="25" xfId="0" applyNumberFormat="1" applyFont="1" applyBorder="1" applyAlignment="1">
      <alignment horizontal="right" vertical="center"/>
    </xf>
    <xf numFmtId="188" fontId="3" fillId="3" borderId="22" xfId="17" applyNumberFormat="1" applyFont="1" applyFill="1" applyBorder="1" applyAlignment="1">
      <alignment horizontal="right" vertical="center"/>
    </xf>
    <xf numFmtId="188" fontId="3" fillId="3" borderId="22" xfId="0" applyNumberFormat="1" applyFont="1" applyFill="1" applyBorder="1" applyAlignment="1">
      <alignment horizontal="right" vertical="center"/>
    </xf>
    <xf numFmtId="188" fontId="3" fillId="0" borderId="21" xfId="17" applyNumberFormat="1" applyFont="1" applyBorder="1" applyAlignment="1">
      <alignment horizontal="right" vertical="center"/>
    </xf>
    <xf numFmtId="188" fontId="3" fillId="0" borderId="21" xfId="0" applyNumberFormat="1" applyFont="1" applyBorder="1" applyAlignment="1">
      <alignment horizontal="right" vertical="center"/>
    </xf>
    <xf numFmtId="188" fontId="3" fillId="0" borderId="0" xfId="17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6" xfId="17" applyNumberFormat="1" applyFont="1" applyBorder="1" applyAlignment="1">
      <alignment horizontal="right" vertical="center"/>
    </xf>
    <xf numFmtId="188" fontId="3" fillId="0" borderId="6" xfId="0" applyNumberFormat="1" applyFont="1" applyBorder="1" applyAlignment="1">
      <alignment horizontal="right" vertical="center"/>
    </xf>
    <xf numFmtId="188" fontId="3" fillId="0" borderId="7" xfId="17" applyNumberFormat="1" applyFont="1" applyBorder="1" applyAlignment="1">
      <alignment horizontal="right" vertical="center"/>
    </xf>
    <xf numFmtId="188" fontId="3" fillId="0" borderId="7" xfId="0" applyNumberFormat="1" applyFont="1" applyBorder="1" applyAlignment="1">
      <alignment horizontal="right" vertical="center"/>
    </xf>
    <xf numFmtId="181" fontId="3" fillId="2" borderId="26" xfId="17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88" fontId="3" fillId="0" borderId="8" xfId="17" applyNumberFormat="1" applyFont="1" applyBorder="1" applyAlignment="1">
      <alignment horizontal="right" vertical="center"/>
    </xf>
    <xf numFmtId="188" fontId="3" fillId="0" borderId="8" xfId="0" applyNumberFormat="1" applyFont="1" applyBorder="1" applyAlignment="1">
      <alignment horizontal="right" vertical="center"/>
    </xf>
    <xf numFmtId="188" fontId="3" fillId="0" borderId="1" xfId="17" applyNumberFormat="1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181" fontId="3" fillId="0" borderId="6" xfId="17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81" fontId="3" fillId="0" borderId="6" xfId="17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1" fontId="3" fillId="0" borderId="7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188" fontId="13" fillId="3" borderId="5" xfId="0" applyNumberFormat="1" applyFont="1" applyFill="1" applyBorder="1" applyAlignment="1">
      <alignment vertical="center" shrinkToFit="1"/>
    </xf>
    <xf numFmtId="188" fontId="13" fillId="4" borderId="18" xfId="0" applyNumberFormat="1" applyFont="1" applyFill="1" applyBorder="1" applyAlignment="1">
      <alignment vertical="center" shrinkToFit="1"/>
    </xf>
    <xf numFmtId="188" fontId="13" fillId="0" borderId="1" xfId="0" applyNumberFormat="1" applyFont="1" applyFill="1" applyBorder="1" applyAlignment="1">
      <alignment vertical="center" shrinkToFit="1"/>
    </xf>
    <xf numFmtId="188" fontId="13" fillId="0" borderId="15" xfId="0" applyNumberFormat="1" applyFont="1" applyFill="1" applyBorder="1" applyAlignment="1">
      <alignment vertical="center" shrinkToFit="1"/>
    </xf>
    <xf numFmtId="188" fontId="13" fillId="0" borderId="11" xfId="0" applyNumberFormat="1" applyFont="1" applyFill="1" applyBorder="1" applyAlignment="1">
      <alignment vertical="center" shrinkToFit="1"/>
    </xf>
    <xf numFmtId="188" fontId="13" fillId="0" borderId="16" xfId="0" applyNumberFormat="1" applyFont="1" applyFill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188" fontId="13" fillId="3" borderId="18" xfId="0" applyNumberFormat="1" applyFont="1" applyFill="1" applyBorder="1" applyAlignment="1">
      <alignment vertical="center" shrinkToFit="1"/>
    </xf>
    <xf numFmtId="188" fontId="13" fillId="0" borderId="12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vertical="center" shrinkToFit="1"/>
    </xf>
    <xf numFmtId="188" fontId="13" fillId="0" borderId="0" xfId="0" applyNumberFormat="1" applyFont="1" applyFill="1" applyBorder="1" applyAlignment="1">
      <alignment horizontal="left" vertical="center" shrinkToFit="1"/>
    </xf>
    <xf numFmtId="188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3" fontId="13" fillId="0" borderId="0" xfId="0" applyNumberFormat="1" applyFont="1" applyBorder="1" applyAlignment="1">
      <alignment vertical="center" shrinkToFit="1"/>
    </xf>
    <xf numFmtId="188" fontId="13" fillId="0" borderId="0" xfId="0" applyNumberFormat="1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188" fontId="16" fillId="3" borderId="29" xfId="0" applyNumberFormat="1" applyFont="1" applyFill="1" applyBorder="1" applyAlignment="1">
      <alignment vertical="center" shrinkToFit="1"/>
    </xf>
    <xf numFmtId="188" fontId="15" fillId="4" borderId="30" xfId="0" applyNumberFormat="1" applyFont="1" applyFill="1" applyBorder="1" applyAlignment="1">
      <alignment vertical="center" shrinkToFit="1"/>
    </xf>
    <xf numFmtId="188" fontId="15" fillId="0" borderId="31" xfId="0" applyNumberFormat="1" applyFont="1" applyFill="1" applyBorder="1" applyAlignment="1">
      <alignment vertical="center" shrinkToFit="1"/>
    </xf>
    <xf numFmtId="188" fontId="15" fillId="0" borderId="32" xfId="0" applyNumberFormat="1" applyFont="1" applyFill="1" applyBorder="1" applyAlignment="1">
      <alignment vertical="center" shrinkToFit="1"/>
    </xf>
    <xf numFmtId="188" fontId="15" fillId="0" borderId="33" xfId="0" applyNumberFormat="1" applyFont="1" applyFill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188" fontId="15" fillId="3" borderId="30" xfId="0" applyNumberFormat="1" applyFont="1" applyFill="1" applyBorder="1" applyAlignment="1">
      <alignment vertical="center" shrinkToFit="1"/>
    </xf>
    <xf numFmtId="188" fontId="15" fillId="0" borderId="34" xfId="0" applyNumberFormat="1" applyFont="1" applyFill="1" applyBorder="1" applyAlignment="1">
      <alignment vertical="center" shrinkToFit="1"/>
    </xf>
    <xf numFmtId="188" fontId="15" fillId="0" borderId="35" xfId="0" applyNumberFormat="1" applyFont="1" applyFill="1" applyBorder="1" applyAlignment="1">
      <alignment vertical="center" shrinkToFit="1"/>
    </xf>
    <xf numFmtId="188" fontId="15" fillId="0" borderId="0" xfId="0" applyNumberFormat="1" applyFont="1" applyFill="1" applyBorder="1" applyAlignment="1">
      <alignment vertical="center" shrinkToFit="1"/>
    </xf>
    <xf numFmtId="188" fontId="15" fillId="0" borderId="0" xfId="0" applyNumberFormat="1" applyFont="1" applyBorder="1" applyAlignment="1">
      <alignment vertical="center" shrinkToFit="1"/>
    </xf>
    <xf numFmtId="188" fontId="15" fillId="0" borderId="9" xfId="0" applyNumberFormat="1" applyFont="1" applyBorder="1" applyAlignment="1">
      <alignment vertical="center" shrinkToFit="1"/>
    </xf>
    <xf numFmtId="188" fontId="15" fillId="0" borderId="9" xfId="0" applyNumberFormat="1" applyFont="1" applyFill="1" applyBorder="1" applyAlignment="1">
      <alignment vertical="center" shrinkToFit="1"/>
    </xf>
    <xf numFmtId="188" fontId="16" fillId="0" borderId="9" xfId="0" applyNumberFormat="1" applyFont="1" applyFill="1" applyBorder="1" applyAlignment="1">
      <alignment vertical="center" shrinkToFit="1"/>
    </xf>
    <xf numFmtId="0" fontId="15" fillId="0" borderId="9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9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3" fillId="0" borderId="28" xfId="0" applyFont="1" applyBorder="1" applyAlignment="1">
      <alignment vertical="center" shrinkToFit="1"/>
    </xf>
    <xf numFmtId="188" fontId="17" fillId="3" borderId="29" xfId="0" applyNumberFormat="1" applyFont="1" applyFill="1" applyBorder="1" applyAlignment="1">
      <alignment vertical="center" shrinkToFit="1"/>
    </xf>
    <xf numFmtId="188" fontId="13" fillId="4" borderId="30" xfId="0" applyNumberFormat="1" applyFont="1" applyFill="1" applyBorder="1" applyAlignment="1">
      <alignment vertical="center" shrinkToFit="1"/>
    </xf>
    <xf numFmtId="188" fontId="13" fillId="0" borderId="34" xfId="0" applyNumberFormat="1" applyFont="1" applyFill="1" applyBorder="1" applyAlignment="1">
      <alignment vertical="center" shrinkToFit="1"/>
    </xf>
    <xf numFmtId="188" fontId="13" fillId="0" borderId="32" xfId="0" applyNumberFormat="1" applyFont="1" applyFill="1" applyBorder="1" applyAlignment="1">
      <alignment vertical="center" shrinkToFit="1"/>
    </xf>
    <xf numFmtId="188" fontId="13" fillId="0" borderId="33" xfId="0" applyNumberFormat="1" applyFont="1" applyFill="1" applyBorder="1" applyAlignment="1">
      <alignment vertical="center" shrinkToFit="1"/>
    </xf>
    <xf numFmtId="188" fontId="13" fillId="0" borderId="31" xfId="0" applyNumberFormat="1" applyFont="1" applyFill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188" fontId="13" fillId="3" borderId="30" xfId="0" applyNumberFormat="1" applyFont="1" applyFill="1" applyBorder="1" applyAlignment="1">
      <alignment vertical="center" shrinkToFit="1"/>
    </xf>
    <xf numFmtId="188" fontId="18" fillId="0" borderId="33" xfId="0" applyNumberFormat="1" applyFont="1" applyFill="1" applyBorder="1" applyAlignment="1">
      <alignment vertical="center" shrinkToFit="1"/>
    </xf>
    <xf numFmtId="188" fontId="13" fillId="0" borderId="36" xfId="0" applyNumberFormat="1" applyFont="1" applyFill="1" applyBorder="1" applyAlignment="1">
      <alignment vertical="center" shrinkToFit="1"/>
    </xf>
    <xf numFmtId="188" fontId="13" fillId="0" borderId="9" xfId="0" applyNumberFormat="1" applyFont="1" applyBorder="1" applyAlignment="1">
      <alignment vertical="center" shrinkToFit="1"/>
    </xf>
    <xf numFmtId="188" fontId="13" fillId="0" borderId="9" xfId="0" applyNumberFormat="1" applyFont="1" applyFill="1" applyBorder="1" applyAlignment="1">
      <alignment vertical="center" shrinkToFit="1"/>
    </xf>
    <xf numFmtId="188" fontId="17" fillId="0" borderId="9" xfId="0" applyNumberFormat="1" applyFont="1" applyFill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49" fontId="15" fillId="0" borderId="0" xfId="0" applyNumberFormat="1" applyFont="1" applyAlignment="1">
      <alignment horizontal="left" vertical="center" shrinkToFit="1"/>
    </xf>
    <xf numFmtId="49" fontId="15" fillId="0" borderId="24" xfId="0" applyNumberFormat="1" applyFont="1" applyBorder="1" applyAlignment="1">
      <alignment horizontal="left" vertical="center" shrinkToFit="1"/>
    </xf>
    <xf numFmtId="49" fontId="15" fillId="0" borderId="25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horizontal="left" vertical="center" shrinkToFit="1"/>
    </xf>
    <xf numFmtId="49" fontId="15" fillId="0" borderId="6" xfId="0" applyNumberFormat="1" applyFont="1" applyBorder="1" applyAlignment="1">
      <alignment horizontal="left" vertical="center" shrinkToFit="1"/>
    </xf>
    <xf numFmtId="49" fontId="15" fillId="0" borderId="7" xfId="0" applyNumberFormat="1" applyFont="1" applyBorder="1" applyAlignment="1">
      <alignment horizontal="left" vertical="center" shrinkToFit="1"/>
    </xf>
    <xf numFmtId="49" fontId="15" fillId="2" borderId="8" xfId="0" applyNumberFormat="1" applyFont="1" applyFill="1" applyBorder="1" applyAlignment="1">
      <alignment horizontal="left" vertical="center" shrinkToFit="1"/>
    </xf>
    <xf numFmtId="49" fontId="15" fillId="2" borderId="7" xfId="0" applyNumberFormat="1" applyFont="1" applyFill="1" applyBorder="1" applyAlignment="1">
      <alignment horizontal="left" vertical="center" shrinkToFit="1"/>
    </xf>
    <xf numFmtId="49" fontId="15" fillId="0" borderId="8" xfId="0" applyNumberFormat="1" applyFont="1" applyBorder="1" applyAlignment="1">
      <alignment horizontal="left" vertical="center" shrinkToFit="1"/>
    </xf>
    <xf numFmtId="49" fontId="15" fillId="0" borderId="1" xfId="0" applyNumberFormat="1" applyFont="1" applyBorder="1" applyAlignment="1">
      <alignment horizontal="left" vertical="center" shrinkToFit="1"/>
    </xf>
    <xf numFmtId="49" fontId="15" fillId="0" borderId="6" xfId="0" applyNumberFormat="1" applyFont="1" applyFill="1" applyBorder="1" applyAlignment="1">
      <alignment horizontal="left" vertical="center" shrinkToFit="1"/>
    </xf>
    <xf numFmtId="49" fontId="15" fillId="0" borderId="7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14" fillId="0" borderId="24" xfId="0" applyNumberFormat="1" applyFont="1" applyBorder="1" applyAlignment="1">
      <alignment horizontal="left" vertical="center" shrinkToFi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5" xfId="0" applyNumberFormat="1" applyFont="1" applyBorder="1" applyAlignment="1">
      <alignment horizontal="left" vertical="center" shrinkToFit="1"/>
    </xf>
    <xf numFmtId="49" fontId="14" fillId="0" borderId="23" xfId="0" applyNumberFormat="1" applyFont="1" applyBorder="1" applyAlignment="1">
      <alignment horizontal="left" vertical="center" shrinkToFit="1"/>
    </xf>
    <xf numFmtId="49" fontId="12" fillId="0" borderId="21" xfId="0" applyNumberFormat="1" applyFont="1" applyBorder="1" applyAlignment="1">
      <alignment horizontal="left" vertical="center" shrinkToFit="1"/>
    </xf>
    <xf numFmtId="49" fontId="14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6" xfId="0" applyNumberFormat="1" applyFont="1" applyBorder="1" applyAlignment="1">
      <alignment horizontal="left" vertical="center" shrinkToFit="1"/>
    </xf>
    <xf numFmtId="49" fontId="12" fillId="0" borderId="7" xfId="0" applyNumberFormat="1" applyFont="1" applyBorder="1" applyAlignment="1">
      <alignment horizontal="left" vertical="center" shrinkToFit="1"/>
    </xf>
    <xf numFmtId="49" fontId="12" fillId="2" borderId="8" xfId="0" applyNumberFormat="1" applyFont="1" applyFill="1" applyBorder="1" applyAlignment="1">
      <alignment horizontal="left" vertical="center" shrinkToFit="1"/>
    </xf>
    <xf numFmtId="49" fontId="12" fillId="2" borderId="7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Border="1" applyAlignment="1">
      <alignment horizontal="left" vertical="center" shrinkToFit="1"/>
    </xf>
    <xf numFmtId="49" fontId="12" fillId="0" borderId="1" xfId="0" applyNumberFormat="1" applyFont="1" applyBorder="1" applyAlignment="1">
      <alignment horizontal="left" vertical="center" shrinkToFit="1"/>
    </xf>
    <xf numFmtId="49" fontId="12" fillId="0" borderId="6" xfId="0" applyNumberFormat="1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1" fillId="0" borderId="23" xfId="0" applyNumberFormat="1" applyFont="1" applyBorder="1" applyAlignment="1">
      <alignment horizontal="left" vertical="center" shrinkToFit="1"/>
    </xf>
    <xf numFmtId="49" fontId="11" fillId="0" borderId="24" xfId="0" applyNumberFormat="1" applyFont="1" applyBorder="1" applyAlignment="1">
      <alignment horizontal="left" vertical="center" shrinkToFit="1"/>
    </xf>
    <xf numFmtId="49" fontId="11" fillId="0" borderId="37" xfId="0" applyNumberFormat="1" applyFont="1" applyBorder="1" applyAlignment="1">
      <alignment horizontal="left" vertical="center" shrinkToFit="1"/>
    </xf>
    <xf numFmtId="188" fontId="13" fillId="0" borderId="35" xfId="0" applyNumberFormat="1" applyFont="1" applyFill="1" applyBorder="1" applyAlignment="1">
      <alignment vertical="center" shrinkToFit="1"/>
    </xf>
    <xf numFmtId="188" fontId="18" fillId="0" borderId="35" xfId="0" applyNumberFormat="1" applyFont="1" applyFill="1" applyBorder="1" applyAlignment="1">
      <alignment vertical="center" shrinkToFit="1"/>
    </xf>
    <xf numFmtId="188" fontId="18" fillId="0" borderId="32" xfId="0" applyNumberFormat="1" applyFont="1" applyFill="1" applyBorder="1" applyAlignment="1">
      <alignment vertical="center" shrinkToFit="1"/>
    </xf>
    <xf numFmtId="188" fontId="18" fillId="0" borderId="34" xfId="0" applyNumberFormat="1" applyFont="1" applyFill="1" applyBorder="1" applyAlignment="1">
      <alignment vertical="center" shrinkToFit="1"/>
    </xf>
    <xf numFmtId="0" fontId="13" fillId="0" borderId="38" xfId="0" applyFont="1" applyBorder="1" applyAlignment="1">
      <alignment vertical="center" shrinkToFit="1"/>
    </xf>
    <xf numFmtId="188" fontId="6" fillId="0" borderId="3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94" fontId="13" fillId="0" borderId="0" xfId="0" applyNumberFormat="1" applyFont="1" applyAlignment="1">
      <alignment vertical="center" shrinkToFit="1"/>
    </xf>
    <xf numFmtId="194" fontId="13" fillId="0" borderId="19" xfId="0" applyNumberFormat="1" applyFont="1" applyBorder="1" applyAlignment="1">
      <alignment vertical="center" shrinkToFit="1"/>
    </xf>
    <xf numFmtId="194" fontId="17" fillId="3" borderId="5" xfId="0" applyNumberFormat="1" applyFont="1" applyFill="1" applyBorder="1" applyAlignment="1">
      <alignment vertical="center" shrinkToFit="1"/>
    </xf>
    <xf numFmtId="194" fontId="13" fillId="4" borderId="18" xfId="0" applyNumberFormat="1" applyFont="1" applyFill="1" applyBorder="1" applyAlignment="1">
      <alignment vertical="center" shrinkToFit="1"/>
    </xf>
    <xf numFmtId="194" fontId="13" fillId="0" borderId="1" xfId="0" applyNumberFormat="1" applyFont="1" applyFill="1" applyBorder="1" applyAlignment="1">
      <alignment vertical="center" shrinkToFit="1"/>
    </xf>
    <xf numFmtId="194" fontId="13" fillId="0" borderId="15" xfId="0" applyNumberFormat="1" applyFont="1" applyFill="1" applyBorder="1" applyAlignment="1">
      <alignment vertical="center" shrinkToFit="1"/>
    </xf>
    <xf numFmtId="194" fontId="13" fillId="0" borderId="11" xfId="0" applyNumberFormat="1" applyFont="1" applyFill="1" applyBorder="1" applyAlignment="1">
      <alignment vertical="center" shrinkToFit="1"/>
    </xf>
    <xf numFmtId="194" fontId="13" fillId="0" borderId="16" xfId="0" applyNumberFormat="1" applyFont="1" applyFill="1" applyBorder="1" applyAlignment="1">
      <alignment vertical="center" shrinkToFit="1"/>
    </xf>
    <xf numFmtId="194" fontId="13" fillId="0" borderId="16" xfId="0" applyNumberFormat="1" applyFont="1" applyBorder="1" applyAlignment="1">
      <alignment vertical="center" shrinkToFit="1"/>
    </xf>
    <xf numFmtId="194" fontId="13" fillId="0" borderId="15" xfId="0" applyNumberFormat="1" applyFont="1" applyBorder="1" applyAlignment="1">
      <alignment vertical="center" shrinkToFit="1"/>
    </xf>
    <xf numFmtId="194" fontId="13" fillId="0" borderId="11" xfId="0" applyNumberFormat="1" applyFont="1" applyBorder="1" applyAlignment="1">
      <alignment vertical="center" shrinkToFit="1"/>
    </xf>
    <xf numFmtId="194" fontId="18" fillId="0" borderId="0" xfId="0" applyNumberFormat="1" applyFont="1" applyFill="1" applyBorder="1" applyAlignment="1">
      <alignment vertical="center" shrinkToFit="1"/>
    </xf>
    <xf numFmtId="194" fontId="18" fillId="0" borderId="15" xfId="0" applyNumberFormat="1" applyFont="1" applyFill="1" applyBorder="1" applyAlignment="1">
      <alignment vertical="center" shrinkToFit="1"/>
    </xf>
    <xf numFmtId="194" fontId="18" fillId="0" borderId="1" xfId="0" applyNumberFormat="1" applyFont="1" applyFill="1" applyBorder="1" applyAlignment="1">
      <alignment vertical="center" shrinkToFit="1"/>
    </xf>
    <xf numFmtId="194" fontId="13" fillId="0" borderId="0" xfId="0" applyNumberFormat="1" applyFont="1" applyFill="1" applyBorder="1" applyAlignment="1">
      <alignment vertical="center" shrinkToFit="1"/>
    </xf>
    <xf numFmtId="194" fontId="13" fillId="3" borderId="18" xfId="0" applyNumberFormat="1" applyFont="1" applyFill="1" applyBorder="1" applyAlignment="1">
      <alignment vertical="center" shrinkToFit="1"/>
    </xf>
    <xf numFmtId="194" fontId="18" fillId="0" borderId="11" xfId="0" applyNumberFormat="1" applyFont="1" applyFill="1" applyBorder="1" applyAlignment="1">
      <alignment vertical="center" shrinkToFit="1"/>
    </xf>
    <xf numFmtId="194" fontId="13" fillId="0" borderId="12" xfId="0" applyNumberFormat="1" applyFont="1" applyFill="1" applyBorder="1" applyAlignment="1">
      <alignment vertical="center" shrinkToFit="1"/>
    </xf>
    <xf numFmtId="194" fontId="0" fillId="0" borderId="0" xfId="0" applyNumberFormat="1" applyAlignment="1">
      <alignment/>
    </xf>
    <xf numFmtId="194" fontId="13" fillId="0" borderId="11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vertical="center" shrinkToFit="1"/>
    </xf>
    <xf numFmtId="194" fontId="17" fillId="0" borderId="0" xfId="0" applyNumberFormat="1" applyFont="1" applyFill="1" applyBorder="1" applyAlignment="1">
      <alignment vertical="center" shrinkToFit="1"/>
    </xf>
    <xf numFmtId="194" fontId="17" fillId="0" borderId="0" xfId="0" applyNumberFormat="1" applyFont="1" applyBorder="1" applyAlignment="1">
      <alignment vertical="center" shrinkToFit="1"/>
    </xf>
    <xf numFmtId="194" fontId="13" fillId="0" borderId="5" xfId="0" applyNumberFormat="1" applyFont="1" applyBorder="1" applyAlignment="1">
      <alignment vertical="center" shrinkToFit="1"/>
    </xf>
    <xf numFmtId="194" fontId="13" fillId="2" borderId="1" xfId="0" applyNumberFormat="1" applyFont="1" applyFill="1" applyBorder="1" applyAlignment="1">
      <alignment horizontal="center" vertical="center" shrinkToFit="1"/>
    </xf>
    <xf numFmtId="194" fontId="13" fillId="2" borderId="5" xfId="0" applyNumberFormat="1" applyFont="1" applyFill="1" applyBorder="1" applyAlignment="1">
      <alignment horizontal="center" vertical="center" shrinkToFit="1"/>
    </xf>
    <xf numFmtId="194" fontId="17" fillId="0" borderId="1" xfId="0" applyNumberFormat="1" applyFont="1" applyBorder="1" applyAlignment="1">
      <alignment vertical="center" shrinkToFit="1"/>
    </xf>
    <xf numFmtId="194" fontId="13" fillId="0" borderId="1" xfId="0" applyNumberFormat="1" applyFont="1" applyBorder="1" applyAlignment="1">
      <alignment vertical="center" shrinkToFit="1"/>
    </xf>
    <xf numFmtId="194" fontId="13" fillId="0" borderId="5" xfId="0" applyNumberFormat="1" applyFont="1" applyFill="1" applyBorder="1" applyAlignment="1">
      <alignment vertical="center" shrinkToFit="1"/>
    </xf>
    <xf numFmtId="194" fontId="17" fillId="0" borderId="0" xfId="0" applyNumberFormat="1" applyFont="1" applyAlignment="1">
      <alignment vertical="center" shrinkToFit="1"/>
    </xf>
    <xf numFmtId="0" fontId="18" fillId="0" borderId="0" xfId="0" applyFont="1" applyBorder="1" applyAlignment="1">
      <alignment vertical="center"/>
    </xf>
    <xf numFmtId="194" fontId="18" fillId="0" borderId="0" xfId="0" applyNumberFormat="1" applyFont="1" applyBorder="1" applyAlignment="1">
      <alignment vertical="center"/>
    </xf>
    <xf numFmtId="49" fontId="14" fillId="0" borderId="37" xfId="0" applyNumberFormat="1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vertical="center"/>
    </xf>
    <xf numFmtId="188" fontId="18" fillId="0" borderId="31" xfId="0" applyNumberFormat="1" applyFont="1" applyFill="1" applyBorder="1" applyAlignment="1">
      <alignment vertical="center" shrinkToFit="1"/>
    </xf>
    <xf numFmtId="194" fontId="18" fillId="0" borderId="16" xfId="0" applyNumberFormat="1" applyFont="1" applyFill="1" applyBorder="1" applyAlignment="1">
      <alignment vertical="center" shrinkToFit="1"/>
    </xf>
    <xf numFmtId="188" fontId="16" fillId="3" borderId="5" xfId="0" applyNumberFormat="1" applyFont="1" applyFill="1" applyBorder="1" applyAlignment="1">
      <alignment vertical="center" shrinkToFit="1"/>
    </xf>
    <xf numFmtId="188" fontId="15" fillId="4" borderId="18" xfId="0" applyNumberFormat="1" applyFont="1" applyFill="1" applyBorder="1" applyAlignment="1">
      <alignment vertical="center" shrinkToFit="1"/>
    </xf>
    <xf numFmtId="188" fontId="15" fillId="0" borderId="16" xfId="0" applyNumberFormat="1" applyFont="1" applyFill="1" applyBorder="1" applyAlignment="1">
      <alignment vertical="center" shrinkToFit="1"/>
    </xf>
    <xf numFmtId="188" fontId="15" fillId="0" borderId="15" xfId="0" applyNumberFormat="1" applyFont="1" applyFill="1" applyBorder="1" applyAlignment="1">
      <alignment vertical="center" shrinkToFit="1"/>
    </xf>
    <xf numFmtId="188" fontId="15" fillId="0" borderId="11" xfId="0" applyNumberFormat="1" applyFont="1" applyFill="1" applyBorder="1" applyAlignment="1">
      <alignment vertical="center" shrinkToFit="1"/>
    </xf>
    <xf numFmtId="188" fontId="15" fillId="3" borderId="18" xfId="0" applyNumberFormat="1" applyFont="1" applyFill="1" applyBorder="1" applyAlignment="1">
      <alignment vertical="center" shrinkToFit="1"/>
    </xf>
    <xf numFmtId="188" fontId="15" fillId="0" borderId="1" xfId="0" applyNumberFormat="1" applyFont="1" applyFill="1" applyBorder="1" applyAlignment="1">
      <alignment vertical="center" shrinkToFit="1"/>
    </xf>
    <xf numFmtId="194" fontId="15" fillId="0" borderId="0" xfId="0" applyNumberFormat="1" applyFont="1" applyAlignment="1">
      <alignment vertical="center" shrinkToFit="1"/>
    </xf>
    <xf numFmtId="194" fontId="16" fillId="3" borderId="5" xfId="0" applyNumberFormat="1" applyFont="1" applyFill="1" applyBorder="1" applyAlignment="1">
      <alignment vertical="center" shrinkToFit="1"/>
    </xf>
    <xf numFmtId="194" fontId="15" fillId="4" borderId="18" xfId="0" applyNumberFormat="1" applyFont="1" applyFill="1" applyBorder="1" applyAlignment="1">
      <alignment vertical="center" shrinkToFit="1"/>
    </xf>
    <xf numFmtId="194" fontId="15" fillId="0" borderId="16" xfId="0" applyNumberFormat="1" applyFont="1" applyFill="1" applyBorder="1" applyAlignment="1">
      <alignment vertical="center" shrinkToFit="1"/>
    </xf>
    <xf numFmtId="194" fontId="15" fillId="0" borderId="15" xfId="0" applyNumberFormat="1" applyFont="1" applyFill="1" applyBorder="1" applyAlignment="1">
      <alignment vertical="center" shrinkToFit="1"/>
    </xf>
    <xf numFmtId="194" fontId="15" fillId="0" borderId="11" xfId="0" applyNumberFormat="1" applyFont="1" applyFill="1" applyBorder="1" applyAlignment="1">
      <alignment vertical="center" shrinkToFit="1"/>
    </xf>
    <xf numFmtId="194" fontId="15" fillId="3" borderId="18" xfId="0" applyNumberFormat="1" applyFont="1" applyFill="1" applyBorder="1" applyAlignment="1">
      <alignment vertical="center" shrinkToFit="1"/>
    </xf>
    <xf numFmtId="194" fontId="15" fillId="0" borderId="1" xfId="0" applyNumberFormat="1" applyFont="1" applyFill="1" applyBorder="1" applyAlignment="1">
      <alignment vertical="center" shrinkToFit="1"/>
    </xf>
    <xf numFmtId="194" fontId="15" fillId="0" borderId="0" xfId="0" applyNumberFormat="1" applyFont="1" applyFill="1" applyBorder="1" applyAlignment="1">
      <alignment vertical="center" shrinkToFit="1"/>
    </xf>
    <xf numFmtId="49" fontId="6" fillId="0" borderId="39" xfId="0" applyNumberFormat="1" applyFont="1" applyBorder="1" applyAlignment="1">
      <alignment horizontal="left" vertical="center" shrinkToFit="1"/>
    </xf>
    <xf numFmtId="188" fontId="3" fillId="0" borderId="40" xfId="17" applyNumberFormat="1" applyFont="1" applyFill="1" applyBorder="1" applyAlignment="1">
      <alignment horizontal="right" vertical="center"/>
    </xf>
    <xf numFmtId="0" fontId="15" fillId="0" borderId="41" xfId="0" applyFont="1" applyBorder="1" applyAlignment="1">
      <alignment vertical="center" shrinkToFit="1"/>
    </xf>
    <xf numFmtId="194" fontId="15" fillId="0" borderId="42" xfId="0" applyNumberFormat="1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6" fillId="0" borderId="42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vertical="center" shrinkToFit="1"/>
    </xf>
    <xf numFmtId="188" fontId="3" fillId="0" borderId="37" xfId="17" applyNumberFormat="1" applyFont="1" applyBorder="1" applyAlignment="1">
      <alignment horizontal="right" vertical="center"/>
    </xf>
    <xf numFmtId="188" fontId="3" fillId="0" borderId="37" xfId="0" applyNumberFormat="1" applyFont="1" applyBorder="1" applyAlignment="1">
      <alignment horizontal="right" vertical="center"/>
    </xf>
    <xf numFmtId="188" fontId="13" fillId="0" borderId="43" xfId="0" applyNumberFormat="1" applyFont="1" applyFill="1" applyBorder="1" applyAlignment="1">
      <alignment vertical="center" shrinkToFit="1"/>
    </xf>
    <xf numFmtId="194" fontId="13" fillId="0" borderId="38" xfId="0" applyNumberFormat="1" applyFont="1" applyFill="1" applyBorder="1" applyAlignment="1">
      <alignment vertical="center" shrinkToFit="1"/>
    </xf>
    <xf numFmtId="188" fontId="6" fillId="0" borderId="5" xfId="0" applyNumberFormat="1" applyFont="1" applyFill="1" applyBorder="1" applyAlignment="1">
      <alignment horizontal="center" vertical="center"/>
    </xf>
    <xf numFmtId="188" fontId="13" fillId="0" borderId="38" xfId="0" applyNumberFormat="1" applyFont="1" applyFill="1" applyBorder="1" applyAlignment="1">
      <alignment vertical="center" shrinkToFit="1"/>
    </xf>
    <xf numFmtId="189" fontId="1" fillId="4" borderId="21" xfId="0" applyNumberFormat="1" applyFont="1" applyFill="1" applyBorder="1" applyAlignment="1">
      <alignment vertical="center"/>
    </xf>
    <xf numFmtId="198" fontId="1" fillId="4" borderId="22" xfId="0" applyNumberFormat="1" applyFont="1" applyFill="1" applyBorder="1" applyAlignment="1">
      <alignment vertical="center"/>
    </xf>
    <xf numFmtId="190" fontId="3" fillId="4" borderId="22" xfId="17" applyNumberFormat="1" applyFont="1" applyFill="1" applyBorder="1" applyAlignment="1">
      <alignment horizontal="right" vertical="center"/>
    </xf>
    <xf numFmtId="206" fontId="3" fillId="0" borderId="24" xfId="0" applyNumberFormat="1" applyFont="1" applyBorder="1" applyAlignment="1">
      <alignment horizontal="right" vertical="center"/>
    </xf>
    <xf numFmtId="198" fontId="1" fillId="0" borderId="24" xfId="0" applyNumberFormat="1" applyFont="1" applyBorder="1" applyAlignment="1">
      <alignment vertical="center"/>
    </xf>
    <xf numFmtId="206" fontId="3" fillId="4" borderId="22" xfId="0" applyNumberFormat="1" applyFont="1" applyFill="1" applyBorder="1" applyAlignment="1">
      <alignment horizontal="right" vertical="center"/>
    </xf>
    <xf numFmtId="198" fontId="1" fillId="0" borderId="25" xfId="0" applyNumberFormat="1" applyFont="1" applyBorder="1" applyAlignment="1">
      <alignment vertical="center"/>
    </xf>
    <xf numFmtId="206" fontId="3" fillId="3" borderId="22" xfId="0" applyNumberFormat="1" applyFont="1" applyFill="1" applyBorder="1" applyAlignment="1">
      <alignment horizontal="right" vertical="center"/>
    </xf>
    <xf numFmtId="198" fontId="1" fillId="3" borderId="24" xfId="0" applyNumberFormat="1" applyFont="1" applyFill="1" applyBorder="1" applyAlignment="1">
      <alignment vertical="center"/>
    </xf>
    <xf numFmtId="181" fontId="0" fillId="0" borderId="0" xfId="17" applyAlignment="1">
      <alignment vertical="center"/>
    </xf>
    <xf numFmtId="181" fontId="6" fillId="0" borderId="0" xfId="17" applyFont="1" applyBorder="1" applyAlignment="1">
      <alignment horizontal="right" vertical="center"/>
    </xf>
    <xf numFmtId="181" fontId="6" fillId="0" borderId="3" xfId="17" applyFont="1" applyBorder="1" applyAlignment="1">
      <alignment horizontal="right" vertical="center"/>
    </xf>
    <xf numFmtId="181" fontId="6" fillId="0" borderId="3" xfId="17" applyFont="1" applyBorder="1" applyAlignment="1">
      <alignment vertical="center"/>
    </xf>
    <xf numFmtId="181" fontId="6" fillId="0" borderId="4" xfId="17" applyFont="1" applyBorder="1" applyAlignment="1">
      <alignment vertical="center"/>
    </xf>
    <xf numFmtId="181" fontId="6" fillId="0" borderId="0" xfId="17" applyFont="1" applyBorder="1" applyAlignment="1">
      <alignment vertical="center"/>
    </xf>
    <xf numFmtId="181" fontId="6" fillId="0" borderId="0" xfId="17" applyFont="1" applyAlignment="1">
      <alignment vertical="center"/>
    </xf>
    <xf numFmtId="181" fontId="6" fillId="0" borderId="2" xfId="17" applyFont="1" applyBorder="1" applyAlignment="1">
      <alignment horizontal="center" vertical="center"/>
    </xf>
    <xf numFmtId="181" fontId="6" fillId="0" borderId="4" xfId="17" applyFont="1" applyBorder="1" applyAlignment="1">
      <alignment horizontal="center" vertical="center"/>
    </xf>
    <xf numFmtId="181" fontId="6" fillId="0" borderId="2" xfId="17" applyFont="1" applyBorder="1" applyAlignment="1">
      <alignment vertical="center"/>
    </xf>
    <xf numFmtId="181" fontId="6" fillId="0" borderId="1" xfId="17" applyFont="1" applyBorder="1" applyAlignment="1">
      <alignment vertical="center"/>
    </xf>
    <xf numFmtId="181" fontId="3" fillId="0" borderId="0" xfId="17" applyFont="1" applyAlignment="1">
      <alignment horizontal="left" vertical="center"/>
    </xf>
    <xf numFmtId="181" fontId="0" fillId="0" borderId="0" xfId="17" applyAlignment="1">
      <alignment horizontal="left" vertical="center"/>
    </xf>
    <xf numFmtId="0" fontId="15" fillId="0" borderId="19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188" fontId="16" fillId="0" borderId="0" xfId="0" applyNumberFormat="1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194" fontId="15" fillId="0" borderId="19" xfId="0" applyNumberFormat="1" applyFont="1" applyBorder="1" applyAlignment="1">
      <alignment vertical="center" shrinkToFit="1"/>
    </xf>
    <xf numFmtId="194" fontId="15" fillId="0" borderId="16" xfId="0" applyNumberFormat="1" applyFont="1" applyBorder="1" applyAlignment="1">
      <alignment vertical="center" shrinkToFit="1"/>
    </xf>
    <xf numFmtId="194" fontId="15" fillId="0" borderId="0" xfId="0" applyNumberFormat="1" applyFont="1" applyBorder="1" applyAlignment="1">
      <alignment vertical="center" shrinkToFit="1"/>
    </xf>
    <xf numFmtId="194" fontId="16" fillId="0" borderId="0" xfId="0" applyNumberFormat="1" applyFont="1" applyFill="1" applyBorder="1" applyAlignment="1">
      <alignment vertical="center" shrinkToFit="1"/>
    </xf>
    <xf numFmtId="194" fontId="16" fillId="0" borderId="0" xfId="0" applyNumberFormat="1" applyFont="1" applyBorder="1" applyAlignment="1">
      <alignment vertical="center" shrinkToFit="1"/>
    </xf>
    <xf numFmtId="194" fontId="15" fillId="0" borderId="5" xfId="0" applyNumberFormat="1" applyFont="1" applyBorder="1" applyAlignment="1">
      <alignment vertical="center" shrinkToFit="1"/>
    </xf>
    <xf numFmtId="194" fontId="15" fillId="2" borderId="1" xfId="0" applyNumberFormat="1" applyFont="1" applyFill="1" applyBorder="1" applyAlignment="1">
      <alignment horizontal="center" vertical="center" shrinkToFit="1"/>
    </xf>
    <xf numFmtId="194" fontId="15" fillId="2" borderId="5" xfId="0" applyNumberFormat="1" applyFont="1" applyFill="1" applyBorder="1" applyAlignment="1">
      <alignment horizontal="center" vertical="center" shrinkToFit="1"/>
    </xf>
    <xf numFmtId="194" fontId="16" fillId="0" borderId="1" xfId="0" applyNumberFormat="1" applyFont="1" applyBorder="1" applyAlignment="1">
      <alignment vertical="center" shrinkToFit="1"/>
    </xf>
    <xf numFmtId="194" fontId="15" fillId="0" borderId="1" xfId="0" applyNumberFormat="1" applyFont="1" applyBorder="1" applyAlignment="1">
      <alignment vertical="center" shrinkToFit="1"/>
    </xf>
    <xf numFmtId="194" fontId="15" fillId="0" borderId="5" xfId="0" applyNumberFormat="1" applyFont="1" applyFill="1" applyBorder="1" applyAlignment="1">
      <alignment vertical="center" shrinkToFit="1"/>
    </xf>
    <xf numFmtId="194" fontId="16" fillId="0" borderId="0" xfId="0" applyNumberFormat="1" applyFont="1" applyAlignment="1">
      <alignment vertical="center" shrinkToFit="1"/>
    </xf>
    <xf numFmtId="194" fontId="13" fillId="0" borderId="16" xfId="0" applyNumberFormat="1" applyFont="1" applyFill="1" applyBorder="1" applyAlignment="1">
      <alignment horizontal="right" vertical="center" shrinkToFit="1"/>
    </xf>
    <xf numFmtId="188" fontId="15" fillId="0" borderId="29" xfId="0" applyNumberFormat="1" applyFont="1" applyFill="1" applyBorder="1" applyAlignment="1">
      <alignment vertical="center" shrinkToFit="1"/>
    </xf>
    <xf numFmtId="188" fontId="15" fillId="0" borderId="5" xfId="0" applyNumberFormat="1" applyFont="1" applyFill="1" applyBorder="1" applyAlignment="1">
      <alignment vertical="center" shrinkToFit="1"/>
    </xf>
    <xf numFmtId="0" fontId="6" fillId="2" borderId="44" xfId="0" applyFont="1" applyFill="1" applyBorder="1" applyAlignment="1">
      <alignment horizontal="center" vertical="center"/>
    </xf>
    <xf numFmtId="206" fontId="3" fillId="0" borderId="20" xfId="0" applyNumberFormat="1" applyFont="1" applyBorder="1" applyAlignment="1">
      <alignment horizontal="right" vertical="center"/>
    </xf>
    <xf numFmtId="198" fontId="3" fillId="0" borderId="40" xfId="0" applyNumberFormat="1" applyFont="1" applyBorder="1" applyAlignment="1">
      <alignment vertical="center"/>
    </xf>
    <xf numFmtId="188" fontId="15" fillId="3" borderId="29" xfId="0" applyNumberFormat="1" applyFont="1" applyFill="1" applyBorder="1" applyAlignment="1">
      <alignment vertical="center" shrinkToFit="1"/>
    </xf>
    <xf numFmtId="194" fontId="15" fillId="3" borderId="5" xfId="0" applyNumberFormat="1" applyFont="1" applyFill="1" applyBorder="1" applyAlignment="1">
      <alignment vertical="center" shrinkToFit="1"/>
    </xf>
    <xf numFmtId="188" fontId="15" fillId="3" borderId="5" xfId="0" applyNumberFormat="1" applyFont="1" applyFill="1" applyBorder="1" applyAlignment="1">
      <alignment vertical="center" shrinkToFit="1"/>
    </xf>
    <xf numFmtId="188" fontId="3" fillId="4" borderId="21" xfId="17" applyNumberFormat="1" applyFont="1" applyFill="1" applyBorder="1" applyAlignment="1">
      <alignment horizontal="right" vertical="center"/>
    </xf>
    <xf numFmtId="198" fontId="3" fillId="3" borderId="22" xfId="0" applyNumberFormat="1" applyFont="1" applyFill="1" applyBorder="1" applyAlignment="1">
      <alignment vertical="center"/>
    </xf>
    <xf numFmtId="206" fontId="3" fillId="0" borderId="23" xfId="0" applyNumberFormat="1" applyFont="1" applyBorder="1" applyAlignment="1">
      <alignment horizontal="right" vertical="center"/>
    </xf>
    <xf numFmtId="198" fontId="3" fillId="0" borderId="23" xfId="0" applyNumberFormat="1" applyFont="1" applyFill="1" applyBorder="1" applyAlignment="1">
      <alignment vertical="center"/>
    </xf>
    <xf numFmtId="198" fontId="3" fillId="0" borderId="24" xfId="0" applyNumberFormat="1" applyFont="1" applyFill="1" applyBorder="1" applyAlignment="1">
      <alignment vertical="center"/>
    </xf>
    <xf numFmtId="198" fontId="3" fillId="4" borderId="22" xfId="0" applyNumberFormat="1" applyFont="1" applyFill="1" applyBorder="1" applyAlignment="1">
      <alignment vertical="center"/>
    </xf>
    <xf numFmtId="189" fontId="3" fillId="4" borderId="22" xfId="0" applyNumberFormat="1" applyFont="1" applyFill="1" applyBorder="1" applyAlignment="1">
      <alignment vertical="center"/>
    </xf>
    <xf numFmtId="189" fontId="3" fillId="3" borderId="22" xfId="0" applyNumberFormat="1" applyFont="1" applyFill="1" applyBorder="1" applyAlignment="1">
      <alignment vertical="center"/>
    </xf>
    <xf numFmtId="189" fontId="3" fillId="3" borderId="21" xfId="0" applyNumberFormat="1" applyFont="1" applyFill="1" applyBorder="1" applyAlignment="1">
      <alignment vertical="center"/>
    </xf>
    <xf numFmtId="189" fontId="3" fillId="0" borderId="24" xfId="0" applyNumberFormat="1" applyFont="1" applyBorder="1" applyAlignment="1">
      <alignment vertical="center"/>
    </xf>
    <xf numFmtId="189" fontId="3" fillId="0" borderId="23" xfId="0" applyNumberFormat="1" applyFont="1" applyBorder="1" applyAlignment="1">
      <alignment vertical="center"/>
    </xf>
    <xf numFmtId="189" fontId="3" fillId="0" borderId="21" xfId="0" applyNumberFormat="1" applyFont="1" applyBorder="1" applyAlignment="1">
      <alignment vertical="center"/>
    </xf>
    <xf numFmtId="189" fontId="3" fillId="0" borderId="37" xfId="0" applyNumberFormat="1" applyFont="1" applyBorder="1" applyAlignment="1">
      <alignment vertical="center"/>
    </xf>
    <xf numFmtId="189" fontId="3" fillId="0" borderId="25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189" fontId="3" fillId="0" borderId="6" xfId="0" applyNumberFormat="1" applyFont="1" applyBorder="1" applyAlignment="1">
      <alignment vertical="center"/>
    </xf>
    <xf numFmtId="189" fontId="3" fillId="0" borderId="7" xfId="0" applyNumberFormat="1" applyFont="1" applyBorder="1" applyAlignment="1">
      <alignment vertical="center"/>
    </xf>
    <xf numFmtId="189" fontId="3" fillId="0" borderId="8" xfId="0" applyNumberFormat="1" applyFont="1" applyBorder="1" applyAlignment="1">
      <alignment vertical="center"/>
    </xf>
    <xf numFmtId="189" fontId="3" fillId="0" borderId="1" xfId="0" applyNumberFormat="1" applyFont="1" applyBorder="1" applyAlignment="1">
      <alignment vertical="center"/>
    </xf>
    <xf numFmtId="189" fontId="3" fillId="0" borderId="2" xfId="0" applyNumberFormat="1" applyFont="1" applyBorder="1" applyAlignment="1">
      <alignment vertical="center"/>
    </xf>
    <xf numFmtId="189" fontId="3" fillId="0" borderId="3" xfId="0" applyNumberFormat="1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89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9" fontId="3" fillId="0" borderId="27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03" fontId="3" fillId="0" borderId="20" xfId="17" applyNumberFormat="1" applyFont="1" applyBorder="1" applyAlignment="1">
      <alignment horizontal="right" vertical="center"/>
    </xf>
    <xf numFmtId="203" fontId="9" fillId="0" borderId="0" xfId="0" applyNumberFormat="1" applyFont="1" applyAlignment="1">
      <alignment horizontal="center" vertical="center"/>
    </xf>
    <xf numFmtId="203" fontId="3" fillId="3" borderId="45" xfId="17" applyNumberFormat="1" applyFont="1" applyFill="1" applyBorder="1" applyAlignment="1">
      <alignment horizontal="right" vertical="center"/>
    </xf>
    <xf numFmtId="203" fontId="3" fillId="4" borderId="46" xfId="17" applyNumberFormat="1" applyFont="1" applyFill="1" applyBorder="1" applyAlignment="1">
      <alignment horizontal="right" vertical="center"/>
    </xf>
    <xf numFmtId="203" fontId="3" fillId="4" borderId="22" xfId="17" applyNumberFormat="1" applyFont="1" applyFill="1" applyBorder="1" applyAlignment="1">
      <alignment horizontal="right" vertical="center"/>
    </xf>
    <xf numFmtId="203" fontId="3" fillId="4" borderId="47" xfId="17" applyNumberFormat="1" applyFont="1" applyFill="1" applyBorder="1" applyAlignment="1">
      <alignment horizontal="right" vertical="center"/>
    </xf>
    <xf numFmtId="203" fontId="19" fillId="0" borderId="17" xfId="17" applyNumberFormat="1" applyFont="1" applyBorder="1" applyAlignment="1">
      <alignment horizontal="right" vertical="center"/>
    </xf>
    <xf numFmtId="203" fontId="19" fillId="0" borderId="37" xfId="17" applyNumberFormat="1" applyFont="1" applyBorder="1" applyAlignment="1">
      <alignment horizontal="right" vertical="center"/>
    </xf>
    <xf numFmtId="203" fontId="19" fillId="0" borderId="48" xfId="17" applyNumberFormat="1" applyFont="1" applyBorder="1" applyAlignment="1">
      <alignment horizontal="right" vertical="center"/>
    </xf>
    <xf numFmtId="203" fontId="3" fillId="0" borderId="39" xfId="17" applyNumberFormat="1" applyFont="1" applyBorder="1" applyAlignment="1">
      <alignment horizontal="right" vertical="center"/>
    </xf>
    <xf numFmtId="41" fontId="3" fillId="0" borderId="25" xfId="17" applyNumberFormat="1" applyFont="1" applyBorder="1" applyAlignment="1">
      <alignment horizontal="right" vertical="center"/>
    </xf>
    <xf numFmtId="203" fontId="3" fillId="0" borderId="25" xfId="17" applyNumberFormat="1" applyFont="1" applyBorder="1" applyAlignment="1">
      <alignment horizontal="right" vertical="center"/>
    </xf>
    <xf numFmtId="203" fontId="3" fillId="0" borderId="49" xfId="17" applyNumberFormat="1" applyFont="1" applyBorder="1" applyAlignment="1">
      <alignment horizontal="right" vertical="center"/>
    </xf>
    <xf numFmtId="203" fontId="3" fillId="0" borderId="50" xfId="17" applyNumberFormat="1" applyFont="1" applyBorder="1" applyAlignment="1">
      <alignment horizontal="right" vertical="center"/>
    </xf>
    <xf numFmtId="203" fontId="3" fillId="0" borderId="23" xfId="17" applyNumberFormat="1" applyFont="1" applyBorder="1" applyAlignment="1">
      <alignment horizontal="right" vertical="center"/>
    </xf>
    <xf numFmtId="203" fontId="3" fillId="0" borderId="51" xfId="17" applyNumberFormat="1" applyFont="1" applyBorder="1" applyAlignment="1">
      <alignment horizontal="right" vertical="center"/>
    </xf>
    <xf numFmtId="203" fontId="3" fillId="0" borderId="13" xfId="17" applyNumberFormat="1" applyFont="1" applyBorder="1" applyAlignment="1">
      <alignment horizontal="right" vertical="center"/>
    </xf>
    <xf numFmtId="203" fontId="3" fillId="0" borderId="24" xfId="17" applyNumberFormat="1" applyFont="1" applyBorder="1" applyAlignment="1">
      <alignment horizontal="right" vertical="center"/>
    </xf>
    <xf numFmtId="203" fontId="3" fillId="0" borderId="52" xfId="17" applyNumberFormat="1" applyFont="1" applyBorder="1" applyAlignment="1">
      <alignment horizontal="right" vertical="center"/>
    </xf>
    <xf numFmtId="203" fontId="3" fillId="0" borderId="53" xfId="17" applyNumberFormat="1" applyFont="1" applyBorder="1" applyAlignment="1">
      <alignment horizontal="right" vertical="center"/>
    </xf>
    <xf numFmtId="203" fontId="3" fillId="0" borderId="54" xfId="17" applyNumberFormat="1" applyFont="1" applyBorder="1" applyAlignment="1">
      <alignment horizontal="right" vertical="center"/>
    </xf>
    <xf numFmtId="203" fontId="3" fillId="0" borderId="55" xfId="17" applyNumberFormat="1" applyFont="1" applyBorder="1" applyAlignment="1">
      <alignment horizontal="right" vertical="center"/>
    </xf>
    <xf numFmtId="203" fontId="3" fillId="0" borderId="56" xfId="17" applyNumberFormat="1" applyFont="1" applyBorder="1" applyAlignment="1">
      <alignment horizontal="right" vertical="center"/>
    </xf>
    <xf numFmtId="203" fontId="3" fillId="0" borderId="17" xfId="17" applyNumberFormat="1" applyFont="1" applyBorder="1" applyAlignment="1">
      <alignment horizontal="right" vertical="center"/>
    </xf>
    <xf numFmtId="203" fontId="3" fillId="0" borderId="37" xfId="17" applyNumberFormat="1" applyFont="1" applyBorder="1" applyAlignment="1">
      <alignment horizontal="right" vertical="center"/>
    </xf>
    <xf numFmtId="203" fontId="3" fillId="0" borderId="48" xfId="17" applyNumberFormat="1" applyFont="1" applyBorder="1" applyAlignment="1">
      <alignment horizontal="right" vertical="center"/>
    </xf>
    <xf numFmtId="203" fontId="3" fillId="0" borderId="25" xfId="0" applyNumberFormat="1" applyFont="1" applyBorder="1" applyAlignment="1">
      <alignment vertical="center"/>
    </xf>
    <xf numFmtId="203" fontId="3" fillId="0" borderId="57" xfId="0" applyNumberFormat="1" applyFont="1" applyBorder="1" applyAlignment="1">
      <alignment vertical="center"/>
    </xf>
    <xf numFmtId="203" fontId="3" fillId="0" borderId="24" xfId="0" applyNumberFormat="1" applyFont="1" applyBorder="1" applyAlignment="1">
      <alignment vertical="center"/>
    </xf>
    <xf numFmtId="203" fontId="3" fillId="0" borderId="52" xfId="0" applyNumberFormat="1" applyFont="1" applyBorder="1" applyAlignment="1">
      <alignment vertical="center"/>
    </xf>
    <xf numFmtId="203" fontId="3" fillId="0" borderId="58" xfId="17" applyNumberFormat="1" applyFont="1" applyBorder="1" applyAlignment="1">
      <alignment horizontal="right" vertical="center"/>
    </xf>
    <xf numFmtId="203" fontId="3" fillId="0" borderId="3" xfId="17" applyNumberFormat="1" applyFont="1" applyFill="1" applyBorder="1" applyAlignment="1">
      <alignment horizontal="right" vertical="center"/>
    </xf>
    <xf numFmtId="203" fontId="3" fillId="3" borderId="46" xfId="17" applyNumberFormat="1" applyFont="1" applyFill="1" applyBorder="1" applyAlignment="1">
      <alignment horizontal="right" vertical="center"/>
    </xf>
    <xf numFmtId="203" fontId="3" fillId="3" borderId="22" xfId="17" applyNumberFormat="1" applyFont="1" applyFill="1" applyBorder="1" applyAlignment="1">
      <alignment horizontal="right" vertical="center"/>
    </xf>
    <xf numFmtId="203" fontId="3" fillId="3" borderId="47" xfId="17" applyNumberFormat="1" applyFont="1" applyFill="1" applyBorder="1" applyAlignment="1">
      <alignment horizontal="right" vertical="center"/>
    </xf>
    <xf numFmtId="203" fontId="3" fillId="0" borderId="11" xfId="17" applyNumberFormat="1" applyFont="1" applyBorder="1" applyAlignment="1">
      <alignment horizontal="right" vertical="center"/>
    </xf>
    <xf numFmtId="203" fontId="3" fillId="0" borderId="59" xfId="17" applyNumberFormat="1" applyFont="1" applyBorder="1" applyAlignment="1">
      <alignment horizontal="right" vertical="center"/>
    </xf>
    <xf numFmtId="203" fontId="3" fillId="0" borderId="60" xfId="17" applyNumberFormat="1" applyFont="1" applyBorder="1" applyAlignment="1">
      <alignment horizontal="right" vertical="center"/>
    </xf>
    <xf numFmtId="203" fontId="3" fillId="0" borderId="61" xfId="17" applyNumberFormat="1" applyFont="1" applyBorder="1" applyAlignment="1">
      <alignment horizontal="right" vertical="center"/>
    </xf>
    <xf numFmtId="203" fontId="3" fillId="0" borderId="53" xfId="17" applyNumberFormat="1" applyFont="1" applyFill="1" applyBorder="1" applyAlignment="1">
      <alignment horizontal="right" vertical="center"/>
    </xf>
    <xf numFmtId="203" fontId="3" fillId="0" borderId="62" xfId="17" applyNumberFormat="1" applyFont="1" applyFill="1" applyBorder="1" applyAlignment="1">
      <alignment horizontal="right" vertical="center"/>
    </xf>
    <xf numFmtId="203" fontId="3" fillId="0" borderId="56" xfId="17" applyNumberFormat="1" applyFont="1" applyFill="1" applyBorder="1" applyAlignment="1">
      <alignment horizontal="right" vertical="center"/>
    </xf>
    <xf numFmtId="203" fontId="3" fillId="3" borderId="21" xfId="17" applyNumberFormat="1" applyFont="1" applyFill="1" applyBorder="1" applyAlignment="1">
      <alignment horizontal="right" vertical="center"/>
    </xf>
    <xf numFmtId="203" fontId="3" fillId="0" borderId="60" xfId="17" applyNumberFormat="1" applyFont="1" applyFill="1" applyBorder="1" applyAlignment="1">
      <alignment horizontal="right" vertical="center"/>
    </xf>
    <xf numFmtId="188" fontId="3" fillId="0" borderId="63" xfId="17" applyNumberFormat="1" applyFont="1" applyBorder="1" applyAlignment="1">
      <alignment horizontal="center" vertical="center"/>
    </xf>
    <xf numFmtId="181" fontId="3" fillId="3" borderId="4" xfId="17" applyFont="1" applyFill="1" applyBorder="1" applyAlignment="1">
      <alignment horizontal="right" vertical="center"/>
    </xf>
    <xf numFmtId="181" fontId="3" fillId="4" borderId="64" xfId="17" applyFont="1" applyFill="1" applyBorder="1" applyAlignment="1">
      <alignment horizontal="right" vertical="center"/>
    </xf>
    <xf numFmtId="181" fontId="3" fillId="0" borderId="65" xfId="17" applyFont="1" applyBorder="1" applyAlignment="1">
      <alignment horizontal="right" vertical="center"/>
    </xf>
    <xf numFmtId="181" fontId="3" fillId="0" borderId="57" xfId="17" applyFont="1" applyBorder="1" applyAlignment="1">
      <alignment horizontal="right" vertical="center"/>
    </xf>
    <xf numFmtId="181" fontId="3" fillId="0" borderId="62" xfId="17" applyFont="1" applyBorder="1" applyAlignment="1">
      <alignment horizontal="right" vertical="center"/>
    </xf>
    <xf numFmtId="181" fontId="3" fillId="3" borderId="64" xfId="17" applyFont="1" applyFill="1" applyBorder="1" applyAlignment="1">
      <alignment horizontal="right" vertical="center"/>
    </xf>
    <xf numFmtId="181" fontId="3" fillId="0" borderId="2" xfId="17" applyFont="1" applyBorder="1" applyAlignment="1">
      <alignment horizontal="right" vertical="center"/>
    </xf>
    <xf numFmtId="181" fontId="3" fillId="0" borderId="3" xfId="17" applyFont="1" applyBorder="1" applyAlignment="1">
      <alignment horizontal="right" vertical="center"/>
    </xf>
    <xf numFmtId="181" fontId="3" fillId="0" borderId="4" xfId="17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shrinkToFit="1"/>
    </xf>
    <xf numFmtId="49" fontId="15" fillId="0" borderId="21" xfId="0" applyNumberFormat="1" applyFont="1" applyBorder="1" applyAlignment="1">
      <alignment horizontal="left" vertical="center" shrinkToFit="1"/>
    </xf>
    <xf numFmtId="49" fontId="6" fillId="0" borderId="27" xfId="0" applyNumberFormat="1" applyFont="1" applyBorder="1" applyAlignment="1">
      <alignment horizontal="left" vertical="center" shrinkToFit="1"/>
    </xf>
    <xf numFmtId="49" fontId="11" fillId="0" borderId="21" xfId="0" applyNumberFormat="1" applyFont="1" applyBorder="1" applyAlignment="1">
      <alignment horizontal="left" vertical="center" shrinkToFit="1"/>
    </xf>
    <xf numFmtId="188" fontId="15" fillId="0" borderId="30" xfId="0" applyNumberFormat="1" applyFont="1" applyFill="1" applyBorder="1" applyAlignment="1">
      <alignment vertical="center" shrinkToFit="1"/>
    </xf>
    <xf numFmtId="194" fontId="15" fillId="0" borderId="18" xfId="0" applyNumberFormat="1" applyFont="1" applyFill="1" applyBorder="1" applyAlignment="1">
      <alignment vertical="center" shrinkToFit="1"/>
    </xf>
    <xf numFmtId="188" fontId="15" fillId="0" borderId="18" xfId="0" applyNumberFormat="1" applyFont="1" applyFill="1" applyBorder="1" applyAlignment="1">
      <alignment vertical="center" shrinkToFit="1"/>
    </xf>
    <xf numFmtId="188" fontId="6" fillId="0" borderId="18" xfId="0" applyNumberFormat="1" applyFont="1" applyFill="1" applyBorder="1" applyAlignment="1">
      <alignment horizontal="center" vertical="center"/>
    </xf>
    <xf numFmtId="181" fontId="3" fillId="0" borderId="64" xfId="17" applyFont="1" applyBorder="1" applyAlignment="1">
      <alignment horizontal="right" vertical="center"/>
    </xf>
    <xf numFmtId="188" fontId="15" fillId="0" borderId="36" xfId="0" applyNumberFormat="1" applyFont="1" applyFill="1" applyBorder="1" applyAlignment="1">
      <alignment vertical="center" shrinkToFit="1"/>
    </xf>
    <xf numFmtId="194" fontId="15" fillId="0" borderId="12" xfId="0" applyNumberFormat="1" applyFont="1" applyFill="1" applyBorder="1" applyAlignment="1">
      <alignment vertical="center" shrinkToFit="1"/>
    </xf>
    <xf numFmtId="188" fontId="15" fillId="0" borderId="12" xfId="0" applyNumberFormat="1" applyFont="1" applyFill="1" applyBorder="1" applyAlignment="1">
      <alignment vertical="center" shrinkToFit="1"/>
    </xf>
    <xf numFmtId="181" fontId="3" fillId="0" borderId="66" xfId="17" applyFont="1" applyBorder="1" applyAlignment="1">
      <alignment horizontal="right" vertical="center"/>
    </xf>
    <xf numFmtId="188" fontId="3" fillId="0" borderId="67" xfId="17" applyNumberFormat="1" applyFont="1" applyBorder="1" applyAlignment="1">
      <alignment horizontal="right" vertical="center"/>
    </xf>
    <xf numFmtId="188" fontId="3" fillId="0" borderId="68" xfId="17" applyNumberFormat="1" applyFont="1" applyBorder="1" applyAlignment="1">
      <alignment horizontal="right" vertical="center"/>
    </xf>
    <xf numFmtId="203" fontId="3" fillId="0" borderId="59" xfId="17" applyNumberFormat="1" applyFont="1" applyFill="1" applyBorder="1" applyAlignment="1">
      <alignment horizontal="right" vertical="center"/>
    </xf>
    <xf numFmtId="203" fontId="3" fillId="0" borderId="61" xfId="17" applyNumberFormat="1" applyFont="1" applyFill="1" applyBorder="1" applyAlignment="1">
      <alignment horizontal="right" vertical="center"/>
    </xf>
    <xf numFmtId="203" fontId="3" fillId="3" borderId="69" xfId="17" applyNumberFormat="1" applyFont="1" applyFill="1" applyBorder="1" applyAlignment="1">
      <alignment horizontal="right" vertical="center"/>
    </xf>
    <xf numFmtId="41" fontId="3" fillId="0" borderId="54" xfId="17" applyNumberFormat="1" applyFont="1" applyBorder="1" applyAlignment="1">
      <alignment horizontal="right" vertical="center"/>
    </xf>
    <xf numFmtId="203" fontId="3" fillId="0" borderId="70" xfId="17" applyNumberFormat="1" applyFont="1" applyBorder="1" applyAlignment="1">
      <alignment horizontal="right" vertical="center"/>
    </xf>
    <xf numFmtId="203" fontId="3" fillId="0" borderId="71" xfId="17" applyNumberFormat="1" applyFont="1" applyBorder="1" applyAlignment="1">
      <alignment horizontal="right" vertical="center"/>
    </xf>
    <xf numFmtId="203" fontId="3" fillId="0" borderId="72" xfId="17" applyNumberFormat="1" applyFont="1" applyBorder="1" applyAlignment="1">
      <alignment horizontal="right" vertical="center"/>
    </xf>
    <xf numFmtId="203" fontId="3" fillId="0" borderId="54" xfId="0" applyNumberFormat="1" applyFont="1" applyBorder="1" applyAlignment="1">
      <alignment vertical="center"/>
    </xf>
    <xf numFmtId="203" fontId="3" fillId="0" borderId="55" xfId="0" applyNumberFormat="1" applyFont="1" applyBorder="1" applyAlignment="1">
      <alignment vertical="center"/>
    </xf>
    <xf numFmtId="203" fontId="3" fillId="0" borderId="21" xfId="17" applyNumberFormat="1" applyFont="1" applyBorder="1" applyAlignment="1">
      <alignment horizontal="right" vertical="center"/>
    </xf>
    <xf numFmtId="206" fontId="3" fillId="0" borderId="40" xfId="0" applyNumberFormat="1" applyFont="1" applyBorder="1" applyAlignment="1">
      <alignment horizontal="right" vertical="center"/>
    </xf>
    <xf numFmtId="181" fontId="3" fillId="0" borderId="54" xfId="17" applyFont="1" applyBorder="1" applyAlignment="1">
      <alignment horizontal="right" vertical="center"/>
    </xf>
    <xf numFmtId="203" fontId="3" fillId="0" borderId="22" xfId="17" applyNumberFormat="1" applyFont="1" applyBorder="1" applyAlignment="1">
      <alignment horizontal="right" vertical="center"/>
    </xf>
    <xf numFmtId="181" fontId="3" fillId="4" borderId="47" xfId="17" applyFont="1" applyFill="1" applyBorder="1" applyAlignment="1">
      <alignment horizontal="right" vertical="center"/>
    </xf>
    <xf numFmtId="181" fontId="3" fillId="4" borderId="73" xfId="17" applyFont="1" applyFill="1" applyBorder="1" applyAlignment="1">
      <alignment horizontal="center" vertical="center"/>
    </xf>
    <xf numFmtId="203" fontId="3" fillId="0" borderId="72" xfId="17" applyNumberFormat="1" applyFont="1" applyFill="1" applyBorder="1" applyAlignment="1">
      <alignment horizontal="right" vertical="center"/>
    </xf>
    <xf numFmtId="188" fontId="3" fillId="3" borderId="69" xfId="17" applyNumberFormat="1" applyFont="1" applyFill="1" applyBorder="1" applyAlignment="1">
      <alignment horizontal="right" vertical="center"/>
    </xf>
    <xf numFmtId="188" fontId="3" fillId="4" borderId="47" xfId="17" applyNumberFormat="1" applyFont="1" applyFill="1" applyBorder="1" applyAlignment="1">
      <alignment horizontal="right" vertical="center"/>
    </xf>
    <xf numFmtId="203" fontId="19" fillId="0" borderId="71" xfId="17" applyNumberFormat="1" applyFont="1" applyBorder="1" applyAlignment="1">
      <alignment horizontal="right" vertical="center"/>
    </xf>
    <xf numFmtId="203" fontId="9" fillId="0" borderId="33" xfId="0" applyNumberFormat="1" applyFont="1" applyBorder="1" applyAlignment="1">
      <alignment horizontal="center" vertical="center"/>
    </xf>
    <xf numFmtId="203" fontId="3" fillId="0" borderId="54" xfId="17" applyNumberFormat="1" applyFont="1" applyFill="1" applyBorder="1" applyAlignment="1">
      <alignment horizontal="right" vertical="center"/>
    </xf>
    <xf numFmtId="0" fontId="0" fillId="0" borderId="54" xfId="0" applyBorder="1" applyAlignment="1">
      <alignment/>
    </xf>
    <xf numFmtId="0" fontId="0" fillId="0" borderId="58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" fillId="5" borderId="33" xfId="0" applyFont="1" applyFill="1" applyBorder="1" applyAlignment="1">
      <alignment horizontal="center" vertical="center"/>
    </xf>
    <xf numFmtId="41" fontId="3" fillId="0" borderId="24" xfId="17" applyNumberFormat="1" applyFont="1" applyBorder="1" applyAlignment="1">
      <alignment horizontal="right" vertical="center"/>
    </xf>
    <xf numFmtId="41" fontId="3" fillId="0" borderId="21" xfId="17" applyNumberFormat="1" applyFont="1" applyBorder="1" applyAlignment="1">
      <alignment horizontal="right" vertical="center"/>
    </xf>
    <xf numFmtId="203" fontId="3" fillId="0" borderId="15" xfId="17" applyNumberFormat="1" applyFont="1" applyBorder="1" applyAlignment="1">
      <alignment horizontal="right" vertical="center"/>
    </xf>
    <xf numFmtId="188" fontId="3" fillId="3" borderId="21" xfId="17" applyNumberFormat="1" applyFont="1" applyFill="1" applyBorder="1" applyAlignment="1">
      <alignment horizontal="center" vertical="center"/>
    </xf>
    <xf numFmtId="188" fontId="3" fillId="0" borderId="20" xfId="17" applyNumberFormat="1" applyFont="1" applyBorder="1" applyAlignment="1">
      <alignment horizontal="center" vertical="center"/>
    </xf>
    <xf numFmtId="188" fontId="3" fillId="4" borderId="22" xfId="17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/>
    </xf>
    <xf numFmtId="203" fontId="9" fillId="0" borderId="54" xfId="17" applyNumberFormat="1" applyFont="1" applyBorder="1" applyAlignment="1">
      <alignment horizontal="right" vertical="center"/>
    </xf>
    <xf numFmtId="203" fontId="9" fillId="0" borderId="54" xfId="17" applyNumberFormat="1" applyFont="1" applyFill="1" applyBorder="1" applyAlignment="1">
      <alignment horizontal="right" vertical="center"/>
    </xf>
    <xf numFmtId="203" fontId="9" fillId="0" borderId="25" xfId="17" applyNumberFormat="1" applyFont="1" applyBorder="1" applyAlignment="1">
      <alignment horizontal="right" vertical="center"/>
    </xf>
    <xf numFmtId="203" fontId="9" fillId="0" borderId="71" xfId="17" applyNumberFormat="1" applyFont="1" applyBorder="1" applyAlignment="1">
      <alignment horizontal="right" vertical="center"/>
    </xf>
    <xf numFmtId="203" fontId="9" fillId="0" borderId="31" xfId="0" applyNumberFormat="1" applyFont="1" applyBorder="1" applyAlignment="1">
      <alignment horizontal="center" vertical="center"/>
    </xf>
    <xf numFmtId="203" fontId="9" fillId="0" borderId="32" xfId="0" applyNumberFormat="1" applyFont="1" applyBorder="1" applyAlignment="1">
      <alignment horizontal="center" vertical="center"/>
    </xf>
    <xf numFmtId="188" fontId="9" fillId="0" borderId="54" xfId="17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49" fontId="6" fillId="2" borderId="74" xfId="0" applyNumberFormat="1" applyFont="1" applyFill="1" applyBorder="1" applyAlignment="1">
      <alignment horizontal="center" vertical="center" shrinkToFit="1"/>
    </xf>
    <xf numFmtId="49" fontId="6" fillId="2" borderId="44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 shrinkToFit="1"/>
    </xf>
    <xf numFmtId="49" fontId="15" fillId="0" borderId="37" xfId="0" applyNumberFormat="1" applyFont="1" applyBorder="1" applyAlignment="1">
      <alignment horizontal="left" vertical="center" shrinkToFit="1"/>
    </xf>
    <xf numFmtId="189" fontId="1" fillId="0" borderId="37" xfId="0" applyNumberFormat="1" applyFont="1" applyBorder="1" applyAlignment="1">
      <alignment vertical="center"/>
    </xf>
    <xf numFmtId="188" fontId="15" fillId="0" borderId="43" xfId="0" applyNumberFormat="1" applyFont="1" applyFill="1" applyBorder="1" applyAlignment="1">
      <alignment vertical="center" shrinkToFit="1"/>
    </xf>
    <xf numFmtId="194" fontId="15" fillId="0" borderId="38" xfId="0" applyNumberFormat="1" applyFont="1" applyFill="1" applyBorder="1" applyAlignment="1">
      <alignment vertical="center" shrinkToFit="1"/>
    </xf>
    <xf numFmtId="188" fontId="15" fillId="0" borderId="38" xfId="0" applyNumberFormat="1" applyFont="1" applyFill="1" applyBorder="1" applyAlignment="1">
      <alignment vertical="center" shrinkToFit="1"/>
    </xf>
    <xf numFmtId="181" fontId="3" fillId="0" borderId="76" xfId="17" applyFont="1" applyBorder="1" applyAlignment="1">
      <alignment horizontal="right" vertical="center"/>
    </xf>
    <xf numFmtId="203" fontId="3" fillId="0" borderId="77" xfId="17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left" vertical="center" shrinkToFit="1"/>
    </xf>
    <xf numFmtId="49" fontId="6" fillId="0" borderId="78" xfId="0" applyNumberFormat="1" applyFont="1" applyBorder="1" applyAlignment="1">
      <alignment horizontal="left" vertical="center" shrinkToFit="1"/>
    </xf>
    <xf numFmtId="203" fontId="3" fillId="0" borderId="79" xfId="17" applyNumberFormat="1" applyFont="1" applyBorder="1" applyAlignment="1">
      <alignment horizontal="right" vertical="center"/>
    </xf>
    <xf numFmtId="203" fontId="3" fillId="3" borderId="80" xfId="17" applyNumberFormat="1" applyFont="1" applyFill="1" applyBorder="1" applyAlignment="1">
      <alignment horizontal="right" vertical="center"/>
    </xf>
    <xf numFmtId="203" fontId="3" fillId="4" borderId="81" xfId="17" applyNumberFormat="1" applyFont="1" applyFill="1" applyBorder="1" applyAlignment="1">
      <alignment horizontal="right" vertical="center"/>
    </xf>
    <xf numFmtId="203" fontId="19" fillId="0" borderId="77" xfId="17" applyNumberFormat="1" applyFont="1" applyBorder="1" applyAlignment="1">
      <alignment horizontal="right" vertical="center"/>
    </xf>
    <xf numFmtId="203" fontId="3" fillId="0" borderId="56" xfId="0" applyNumberFormat="1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82" xfId="0" applyBorder="1" applyAlignment="1">
      <alignment/>
    </xf>
    <xf numFmtId="203" fontId="3" fillId="3" borderId="73" xfId="17" applyNumberFormat="1" applyFont="1" applyFill="1" applyBorder="1" applyAlignment="1">
      <alignment horizontal="right" vertical="center"/>
    </xf>
    <xf numFmtId="203" fontId="3" fillId="3" borderId="81" xfId="17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/>
    </xf>
    <xf numFmtId="0" fontId="3" fillId="0" borderId="82" xfId="0" applyFont="1" applyBorder="1" applyAlignment="1">
      <alignment/>
    </xf>
    <xf numFmtId="188" fontId="3" fillId="0" borderId="63" xfId="17" applyNumberFormat="1" applyFont="1" applyBorder="1" applyAlignment="1">
      <alignment horizontal="right" vertical="center"/>
    </xf>
    <xf numFmtId="181" fontId="9" fillId="0" borderId="2" xfId="17" applyFont="1" applyBorder="1" applyAlignment="1">
      <alignment horizontal="right" vertical="center"/>
    </xf>
    <xf numFmtId="181" fontId="9" fillId="0" borderId="65" xfId="17" applyFont="1" applyBorder="1" applyAlignment="1">
      <alignment horizontal="right" vertical="center"/>
    </xf>
    <xf numFmtId="181" fontId="9" fillId="0" borderId="57" xfId="17" applyFont="1" applyBorder="1" applyAlignment="1">
      <alignment horizontal="right" vertical="center"/>
    </xf>
    <xf numFmtId="181" fontId="9" fillId="0" borderId="3" xfId="17" applyFont="1" applyBorder="1" applyAlignment="1">
      <alignment vertical="center"/>
    </xf>
    <xf numFmtId="181" fontId="3" fillId="0" borderId="3" xfId="17" applyFont="1" applyBorder="1" applyAlignment="1">
      <alignment vertical="center"/>
    </xf>
    <xf numFmtId="181" fontId="3" fillId="0" borderId="65" xfId="17" applyFont="1" applyBorder="1" applyAlignment="1">
      <alignment vertical="center"/>
    </xf>
    <xf numFmtId="181" fontId="3" fillId="0" borderId="57" xfId="17" applyFont="1" applyBorder="1" applyAlignment="1">
      <alignment vertical="center"/>
    </xf>
    <xf numFmtId="181" fontId="9" fillId="0" borderId="3" xfId="17" applyFont="1" applyBorder="1" applyAlignment="1">
      <alignment horizontal="right" vertical="center"/>
    </xf>
    <xf numFmtId="181" fontId="3" fillId="0" borderId="62" xfId="17" applyFont="1" applyBorder="1" applyAlignment="1">
      <alignment vertical="center"/>
    </xf>
    <xf numFmtId="181" fontId="9" fillId="0" borderId="57" xfId="17" applyFont="1" applyBorder="1" applyAlignment="1">
      <alignment vertical="center"/>
    </xf>
    <xf numFmtId="181" fontId="9" fillId="0" borderId="2" xfId="17" applyFont="1" applyBorder="1" applyAlignment="1">
      <alignment vertical="center"/>
    </xf>
    <xf numFmtId="181" fontId="9" fillId="0" borderId="62" xfId="17" applyFont="1" applyBorder="1" applyAlignment="1">
      <alignment horizontal="right" vertical="center"/>
    </xf>
    <xf numFmtId="181" fontId="3" fillId="0" borderId="76" xfId="17" applyFont="1" applyBorder="1" applyAlignment="1">
      <alignment vertical="center"/>
    </xf>
    <xf numFmtId="49" fontId="14" fillId="0" borderId="21" xfId="0" applyNumberFormat="1" applyFont="1" applyBorder="1" applyAlignment="1">
      <alignment horizontal="left" vertical="center" shrinkToFit="1"/>
    </xf>
    <xf numFmtId="188" fontId="18" fillId="0" borderId="29" xfId="0" applyNumberFormat="1" applyFont="1" applyFill="1" applyBorder="1" applyAlignment="1">
      <alignment vertical="center" shrinkToFit="1"/>
    </xf>
    <xf numFmtId="194" fontId="18" fillId="0" borderId="5" xfId="0" applyNumberFormat="1" applyFont="1" applyFill="1" applyBorder="1" applyAlignment="1">
      <alignment vertical="center" shrinkToFit="1"/>
    </xf>
    <xf numFmtId="188" fontId="13" fillId="0" borderId="5" xfId="0" applyNumberFormat="1" applyFont="1" applyFill="1" applyBorder="1" applyAlignment="1">
      <alignment vertical="center" shrinkToFit="1"/>
    </xf>
    <xf numFmtId="203" fontId="3" fillId="0" borderId="68" xfId="17" applyNumberFormat="1" applyFont="1" applyBorder="1" applyAlignment="1">
      <alignment horizontal="right" vertical="center"/>
    </xf>
    <xf numFmtId="203" fontId="3" fillId="3" borderId="83" xfId="17" applyNumberFormat="1" applyFont="1" applyFill="1" applyBorder="1" applyAlignment="1">
      <alignment horizontal="right" vertical="center"/>
    </xf>
    <xf numFmtId="203" fontId="19" fillId="0" borderId="72" xfId="17" applyNumberFormat="1" applyFont="1" applyBorder="1" applyAlignment="1">
      <alignment horizontal="right" vertical="center"/>
    </xf>
    <xf numFmtId="203" fontId="3" fillId="0" borderId="82" xfId="17" applyNumberFormat="1" applyFont="1" applyBorder="1" applyAlignment="1">
      <alignment horizontal="right" vertical="center"/>
    </xf>
    <xf numFmtId="41" fontId="3" fillId="0" borderId="55" xfId="17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 shrinkToFit="1"/>
    </xf>
    <xf numFmtId="203" fontId="3" fillId="0" borderId="77" xfId="17" applyNumberFormat="1" applyFont="1" applyFill="1" applyBorder="1" applyAlignment="1">
      <alignment horizontal="right" vertical="center"/>
    </xf>
    <xf numFmtId="203" fontId="3" fillId="0" borderId="71" xfId="17" applyNumberFormat="1" applyFont="1" applyFill="1" applyBorder="1" applyAlignment="1">
      <alignment horizontal="right" vertical="center"/>
    </xf>
    <xf numFmtId="203" fontId="3" fillId="0" borderId="55" xfId="17" applyNumberFormat="1" applyFont="1" applyFill="1" applyBorder="1" applyAlignment="1">
      <alignment horizontal="right" vertical="center"/>
    </xf>
    <xf numFmtId="188" fontId="18" fillId="0" borderId="43" xfId="0" applyNumberFormat="1" applyFont="1" applyFill="1" applyBorder="1" applyAlignment="1">
      <alignment vertical="center" shrinkToFit="1"/>
    </xf>
    <xf numFmtId="194" fontId="13" fillId="0" borderId="12" xfId="0" applyNumberFormat="1" applyFont="1" applyFill="1" applyBorder="1" applyAlignment="1">
      <alignment horizontal="right" vertical="center" shrinkToFit="1"/>
    </xf>
    <xf numFmtId="188" fontId="3" fillId="0" borderId="71" xfId="17" applyNumberFormat="1" applyFont="1" applyBorder="1" applyAlignment="1">
      <alignment horizontal="right" vertical="center"/>
    </xf>
    <xf numFmtId="188" fontId="3" fillId="0" borderId="71" xfId="0" applyNumberFormat="1" applyFont="1" applyBorder="1" applyAlignment="1">
      <alignment horizontal="right" vertical="center"/>
    </xf>
    <xf numFmtId="189" fontId="3" fillId="0" borderId="71" xfId="0" applyNumberFormat="1" applyFont="1" applyBorder="1" applyAlignment="1">
      <alignment vertical="center"/>
    </xf>
    <xf numFmtId="203" fontId="9" fillId="0" borderId="55" xfId="17" applyNumberFormat="1" applyFont="1" applyFill="1" applyBorder="1" applyAlignment="1">
      <alignment horizontal="right" vertical="center"/>
    </xf>
    <xf numFmtId="0" fontId="0" fillId="0" borderId="55" xfId="0" applyBorder="1" applyAlignment="1">
      <alignment/>
    </xf>
    <xf numFmtId="203" fontId="9" fillId="0" borderId="55" xfId="17" applyNumberFormat="1" applyFont="1" applyBorder="1" applyAlignment="1">
      <alignment horizontal="right" vertical="center"/>
    </xf>
    <xf numFmtId="188" fontId="18" fillId="0" borderId="36" xfId="0" applyNumberFormat="1" applyFont="1" applyFill="1" applyBorder="1" applyAlignment="1">
      <alignment vertical="center" shrinkToFit="1"/>
    </xf>
    <xf numFmtId="181" fontId="3" fillId="0" borderId="4" xfId="17" applyFont="1" applyBorder="1" applyAlignment="1">
      <alignment vertical="center"/>
    </xf>
    <xf numFmtId="0" fontId="0" fillId="0" borderId="77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94" fontId="18" fillId="0" borderId="12" xfId="0" applyNumberFormat="1" applyFont="1" applyFill="1" applyBorder="1" applyAlignment="1">
      <alignment vertical="center" shrinkToFit="1"/>
    </xf>
    <xf numFmtId="181" fontId="3" fillId="0" borderId="66" xfId="17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84" xfId="0" applyBorder="1" applyAlignment="1">
      <alignment/>
    </xf>
    <xf numFmtId="0" fontId="3" fillId="0" borderId="55" xfId="0" applyFont="1" applyBorder="1" applyAlignment="1">
      <alignment/>
    </xf>
    <xf numFmtId="0" fontId="3" fillId="0" borderId="61" xfId="0" applyFont="1" applyBorder="1" applyAlignment="1">
      <alignment/>
    </xf>
    <xf numFmtId="49" fontId="6" fillId="0" borderId="85" xfId="0" applyNumberFormat="1" applyFont="1" applyBorder="1" applyAlignment="1">
      <alignment horizontal="left" vertical="center" shrinkToFit="1"/>
    </xf>
    <xf numFmtId="49" fontId="6" fillId="0" borderId="73" xfId="0" applyNumberFormat="1" applyFont="1" applyBorder="1" applyAlignment="1">
      <alignment horizontal="left" vertical="center" shrinkToFit="1"/>
    </xf>
    <xf numFmtId="49" fontId="6" fillId="0" borderId="86" xfId="0" applyNumberFormat="1" applyFont="1" applyBorder="1" applyAlignment="1">
      <alignment horizontal="left" vertical="center" shrinkToFit="1"/>
    </xf>
    <xf numFmtId="49" fontId="6" fillId="0" borderId="58" xfId="0" applyNumberFormat="1" applyFont="1" applyBorder="1" applyAlignment="1">
      <alignment horizontal="left" vertical="center" shrinkToFit="1"/>
    </xf>
    <xf numFmtId="188" fontId="13" fillId="0" borderId="29" xfId="0" applyNumberFormat="1" applyFont="1" applyFill="1" applyBorder="1" applyAlignment="1">
      <alignment vertical="center" shrinkToFit="1"/>
    </xf>
    <xf numFmtId="206" fontId="3" fillId="0" borderId="37" xfId="0" applyNumberFormat="1" applyFont="1" applyBorder="1" applyAlignment="1">
      <alignment horizontal="right" vertical="center"/>
    </xf>
    <xf numFmtId="198" fontId="1" fillId="0" borderId="37" xfId="0" applyNumberFormat="1" applyFont="1" applyBorder="1" applyAlignment="1">
      <alignment vertical="center"/>
    </xf>
    <xf numFmtId="0" fontId="3" fillId="0" borderId="77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194" fontId="18" fillId="0" borderId="38" xfId="0" applyNumberFormat="1" applyFont="1" applyFill="1" applyBorder="1" applyAlignment="1">
      <alignment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1" xfId="0" applyNumberFormat="1" applyFont="1" applyBorder="1" applyAlignment="1">
      <alignment horizontal="left" vertical="center" shrinkToFit="1"/>
    </xf>
    <xf numFmtId="49" fontId="12" fillId="2" borderId="44" xfId="0" applyNumberFormat="1" applyFont="1" applyFill="1" applyBorder="1" applyAlignment="1">
      <alignment horizontal="center" vertical="center" shrinkToFit="1"/>
    </xf>
    <xf numFmtId="203" fontId="19" fillId="0" borderId="86" xfId="17" applyNumberFormat="1" applyFont="1" applyBorder="1" applyAlignment="1">
      <alignment horizontal="right" vertical="center"/>
    </xf>
    <xf numFmtId="203" fontId="3" fillId="0" borderId="85" xfId="17" applyNumberFormat="1" applyFont="1" applyBorder="1" applyAlignment="1">
      <alignment horizontal="right" vertical="center"/>
    </xf>
    <xf numFmtId="188" fontId="3" fillId="3" borderId="81" xfId="17" applyNumberFormat="1" applyFont="1" applyFill="1" applyBorder="1" applyAlignment="1">
      <alignment horizontal="right" vertical="center"/>
    </xf>
    <xf numFmtId="203" fontId="3" fillId="0" borderId="86" xfId="17" applyNumberFormat="1" applyFont="1" applyBorder="1" applyAlignment="1">
      <alignment horizontal="right" vertical="center"/>
    </xf>
    <xf numFmtId="203" fontId="3" fillId="0" borderId="84" xfId="17" applyNumberFormat="1" applyFont="1" applyBorder="1" applyAlignment="1">
      <alignment horizontal="right" vertical="center"/>
    </xf>
    <xf numFmtId="188" fontId="3" fillId="0" borderId="68" xfId="17" applyNumberFormat="1" applyFont="1" applyFill="1" applyBorder="1" applyAlignment="1">
      <alignment horizontal="right" vertical="center"/>
    </xf>
    <xf numFmtId="188" fontId="3" fillId="3" borderId="64" xfId="17" applyNumberFormat="1" applyFont="1" applyFill="1" applyBorder="1" applyAlignment="1">
      <alignment horizontal="right" vertical="center"/>
    </xf>
    <xf numFmtId="188" fontId="3" fillId="3" borderId="47" xfId="17" applyNumberFormat="1" applyFont="1" applyFill="1" applyBorder="1" applyAlignment="1">
      <alignment horizontal="right" vertical="center"/>
    </xf>
    <xf numFmtId="188" fontId="3" fillId="0" borderId="87" xfId="17" applyNumberFormat="1" applyFont="1" applyFill="1" applyBorder="1" applyAlignment="1">
      <alignment horizontal="right" vertical="center"/>
    </xf>
    <xf numFmtId="203" fontId="3" fillId="3" borderId="88" xfId="17" applyNumberFormat="1" applyFont="1" applyFill="1" applyBorder="1" applyAlignment="1">
      <alignment horizontal="right" vertical="center"/>
    </xf>
    <xf numFmtId="203" fontId="3" fillId="0" borderId="14" xfId="17" applyNumberFormat="1" applyFont="1" applyBorder="1" applyAlignment="1">
      <alignment horizontal="right" vertical="center"/>
    </xf>
    <xf numFmtId="203" fontId="3" fillId="0" borderId="69" xfId="17" applyNumberFormat="1" applyFont="1" applyBorder="1" applyAlignment="1">
      <alignment horizontal="right" vertical="center"/>
    </xf>
    <xf numFmtId="203" fontId="3" fillId="3" borderId="14" xfId="17" applyNumberFormat="1" applyFont="1" applyFill="1" applyBorder="1" applyAlignment="1">
      <alignment horizontal="right" vertical="center"/>
    </xf>
    <xf numFmtId="188" fontId="3" fillId="3" borderId="46" xfId="17" applyNumberFormat="1" applyFont="1" applyFill="1" applyBorder="1" applyAlignment="1">
      <alignment horizontal="right" vertical="center"/>
    </xf>
    <xf numFmtId="49" fontId="11" fillId="0" borderId="25" xfId="0" applyNumberFormat="1" applyFont="1" applyBorder="1" applyAlignment="1">
      <alignment horizontal="left" vertical="center" shrinkToFit="1"/>
    </xf>
    <xf numFmtId="203" fontId="3" fillId="0" borderId="17" xfId="0" applyNumberFormat="1" applyFont="1" applyBorder="1" applyAlignment="1">
      <alignment vertical="center"/>
    </xf>
    <xf numFmtId="203" fontId="3" fillId="0" borderId="37" xfId="0" applyNumberFormat="1" applyFont="1" applyBorder="1" applyAlignment="1">
      <alignment vertical="center"/>
    </xf>
    <xf numFmtId="203" fontId="3" fillId="0" borderId="48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horizontal="left" vertical="center" shrinkToFit="1"/>
    </xf>
    <xf numFmtId="206" fontId="3" fillId="0" borderId="60" xfId="0" applyNumberFormat="1" applyFont="1" applyBorder="1" applyAlignment="1">
      <alignment horizontal="right" vertical="center"/>
    </xf>
    <xf numFmtId="198" fontId="3" fillId="0" borderId="21" xfId="0" applyNumberFormat="1" applyFont="1" applyFill="1" applyBorder="1" applyAlignment="1">
      <alignment vertical="center"/>
    </xf>
    <xf numFmtId="203" fontId="3" fillId="0" borderId="46" xfId="17" applyNumberFormat="1" applyFont="1" applyBorder="1" applyAlignment="1">
      <alignment horizontal="right" vertical="center"/>
    </xf>
    <xf numFmtId="203" fontId="3" fillId="0" borderId="47" xfId="17" applyNumberFormat="1" applyFont="1" applyBorder="1" applyAlignment="1">
      <alignment horizontal="right" vertical="center"/>
    </xf>
    <xf numFmtId="203" fontId="3" fillId="0" borderId="70" xfId="0" applyNumberFormat="1" applyFont="1" applyBorder="1" applyAlignment="1">
      <alignment vertical="center"/>
    </xf>
    <xf numFmtId="203" fontId="3" fillId="0" borderId="71" xfId="0" applyNumberFormat="1" applyFont="1" applyBorder="1" applyAlignment="1">
      <alignment vertical="center"/>
    </xf>
    <xf numFmtId="203" fontId="3" fillId="0" borderId="72" xfId="0" applyNumberFormat="1" applyFont="1" applyBorder="1" applyAlignment="1">
      <alignment vertical="center"/>
    </xf>
    <xf numFmtId="49" fontId="6" fillId="0" borderId="89" xfId="0" applyNumberFormat="1" applyFont="1" applyBorder="1" applyAlignment="1">
      <alignment horizontal="left" vertical="center" shrinkToFit="1"/>
    </xf>
    <xf numFmtId="203" fontId="3" fillId="0" borderId="58" xfId="17" applyNumberFormat="1" applyFont="1" applyFill="1" applyBorder="1" applyAlignment="1">
      <alignment horizontal="right" vertical="center"/>
    </xf>
    <xf numFmtId="203" fontId="3" fillId="0" borderId="25" xfId="17" applyNumberFormat="1" applyFont="1" applyFill="1" applyBorder="1" applyAlignment="1">
      <alignment horizontal="right" vertical="center"/>
    </xf>
    <xf numFmtId="203" fontId="3" fillId="0" borderId="49" xfId="17" applyNumberFormat="1" applyFont="1" applyFill="1" applyBorder="1" applyAlignment="1">
      <alignment horizontal="right" vertical="center"/>
    </xf>
    <xf numFmtId="194" fontId="13" fillId="0" borderId="15" xfId="0" applyNumberFormat="1" applyFont="1" applyFill="1" applyBorder="1" applyAlignment="1">
      <alignment horizontal="right" vertical="center" shrinkToFit="1"/>
    </xf>
    <xf numFmtId="0" fontId="0" fillId="0" borderId="58" xfId="0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49" fontId="12" fillId="0" borderId="15" xfId="0" applyNumberFormat="1" applyFont="1" applyBorder="1" applyAlignment="1">
      <alignment horizontal="left" vertical="center" shrinkToFit="1"/>
    </xf>
    <xf numFmtId="0" fontId="3" fillId="0" borderId="5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9" xfId="0" applyFont="1" applyBorder="1" applyAlignment="1">
      <alignment/>
    </xf>
    <xf numFmtId="49" fontId="14" fillId="0" borderId="15" xfId="0" applyNumberFormat="1" applyFont="1" applyBorder="1" applyAlignment="1">
      <alignment horizontal="left" vertical="center" shrinkToFit="1"/>
    </xf>
    <xf numFmtId="0" fontId="3" fillId="0" borderId="53" xfId="0" applyFont="1" applyBorder="1" applyAlignment="1">
      <alignment/>
    </xf>
    <xf numFmtId="49" fontId="14" fillId="0" borderId="71" xfId="0" applyNumberFormat="1" applyFont="1" applyBorder="1" applyAlignment="1">
      <alignment horizontal="left" vertical="center" shrinkToFit="1"/>
    </xf>
    <xf numFmtId="0" fontId="18" fillId="0" borderId="43" xfId="0" applyFont="1" applyBorder="1" applyAlignment="1">
      <alignment vertical="center"/>
    </xf>
    <xf numFmtId="194" fontId="18" fillId="0" borderId="38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41" fontId="3" fillId="0" borderId="60" xfId="17" applyNumberFormat="1" applyFont="1" applyBorder="1" applyAlignment="1">
      <alignment horizontal="right" vertical="center"/>
    </xf>
    <xf numFmtId="49" fontId="14" fillId="0" borderId="60" xfId="0" applyNumberFormat="1" applyFont="1" applyBorder="1" applyAlignment="1">
      <alignment horizontal="left" vertical="center" shrinkToFit="1"/>
    </xf>
    <xf numFmtId="188" fontId="3" fillId="0" borderId="60" xfId="17" applyNumberFormat="1" applyFont="1" applyBorder="1" applyAlignment="1">
      <alignment horizontal="right" vertical="center"/>
    </xf>
    <xf numFmtId="188" fontId="3" fillId="0" borderId="60" xfId="0" applyNumberFormat="1" applyFont="1" applyBorder="1" applyAlignment="1">
      <alignment horizontal="right" vertical="center"/>
    </xf>
    <xf numFmtId="181" fontId="9" fillId="0" borderId="66" xfId="17" applyFont="1" applyBorder="1" applyAlignment="1">
      <alignment horizontal="right" vertical="center"/>
    </xf>
    <xf numFmtId="203" fontId="9" fillId="0" borderId="60" xfId="17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 shrinkToFit="1"/>
    </xf>
    <xf numFmtId="203" fontId="3" fillId="0" borderId="82" xfId="17" applyNumberFormat="1" applyFont="1" applyFill="1" applyBorder="1" applyAlignment="1">
      <alignment horizontal="right" vertical="center"/>
    </xf>
    <xf numFmtId="181" fontId="3" fillId="0" borderId="2" xfId="17" applyFont="1" applyBorder="1" applyAlignment="1">
      <alignment vertical="center"/>
    </xf>
    <xf numFmtId="181" fontId="9" fillId="0" borderId="4" xfId="17" applyFont="1" applyBorder="1" applyAlignment="1">
      <alignment vertical="center"/>
    </xf>
    <xf numFmtId="203" fontId="9" fillId="0" borderId="61" xfId="17" applyNumberFormat="1" applyFont="1" applyBorder="1" applyAlignment="1">
      <alignment horizontal="right" vertical="center"/>
    </xf>
    <xf numFmtId="0" fontId="3" fillId="0" borderId="7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69" xfId="0" applyFont="1" applyBorder="1" applyAlignment="1">
      <alignment/>
    </xf>
    <xf numFmtId="0" fontId="13" fillId="0" borderId="18" xfId="0" applyFont="1" applyBorder="1" applyAlignment="1">
      <alignment vertical="center" shrinkToFit="1"/>
    </xf>
    <xf numFmtId="49" fontId="6" fillId="0" borderId="81" xfId="0" applyNumberFormat="1" applyFont="1" applyBorder="1" applyAlignment="1">
      <alignment horizontal="left" vertical="center" shrinkToFit="1"/>
    </xf>
    <xf numFmtId="49" fontId="12" fillId="0" borderId="22" xfId="0" applyNumberFormat="1" applyFont="1" applyBorder="1" applyAlignment="1">
      <alignment horizontal="left" vertical="center" shrinkToFit="1"/>
    </xf>
    <xf numFmtId="0" fontId="3" fillId="0" borderId="8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7" xfId="0" applyFont="1" applyBorder="1" applyAlignment="1">
      <alignment/>
    </xf>
    <xf numFmtId="188" fontId="3" fillId="0" borderId="63" xfId="17" applyNumberFormat="1" applyFont="1" applyFill="1" applyBorder="1" applyAlignment="1">
      <alignment horizontal="right" vertical="center"/>
    </xf>
    <xf numFmtId="188" fontId="3" fillId="0" borderId="79" xfId="17" applyNumberFormat="1" applyFont="1" applyBorder="1" applyAlignment="1">
      <alignment horizontal="right" vertical="center"/>
    </xf>
    <xf numFmtId="188" fontId="3" fillId="3" borderId="73" xfId="17" applyNumberFormat="1" applyFont="1" applyFill="1" applyBorder="1" applyAlignment="1">
      <alignment horizontal="right" vertical="center"/>
    </xf>
    <xf numFmtId="188" fontId="3" fillId="4" borderId="81" xfId="17" applyNumberFormat="1" applyFont="1" applyFill="1" applyBorder="1" applyAlignment="1">
      <alignment horizontal="right" vertical="center"/>
    </xf>
    <xf numFmtId="203" fontId="3" fillId="0" borderId="85" xfId="0" applyNumberFormat="1" applyFont="1" applyBorder="1" applyAlignment="1">
      <alignment vertical="center"/>
    </xf>
    <xf numFmtId="181" fontId="3" fillId="0" borderId="63" xfId="17" applyFont="1" applyBorder="1" applyAlignment="1">
      <alignment horizontal="right" vertical="center"/>
    </xf>
    <xf numFmtId="181" fontId="3" fillId="3" borderId="90" xfId="17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13" fillId="0" borderId="15" xfId="0" applyFont="1" applyBorder="1" applyAlignment="1">
      <alignment vertical="center" shrinkToFit="1"/>
    </xf>
    <xf numFmtId="206" fontId="3" fillId="0" borderId="37" xfId="0" applyNumberFormat="1" applyFont="1" applyFill="1" applyBorder="1" applyAlignment="1">
      <alignment horizontal="right" vertical="center"/>
    </xf>
    <xf numFmtId="198" fontId="1" fillId="0" borderId="37" xfId="0" applyNumberFormat="1" applyFont="1" applyFill="1" applyBorder="1" applyAlignment="1">
      <alignment vertical="center"/>
    </xf>
    <xf numFmtId="203" fontId="3" fillId="0" borderId="66" xfId="17" applyNumberFormat="1" applyFont="1" applyBorder="1" applyAlignment="1">
      <alignment horizontal="right" vertical="center"/>
    </xf>
    <xf numFmtId="189" fontId="1" fillId="0" borderId="60" xfId="0" applyNumberFormat="1" applyFont="1" applyBorder="1" applyAlignment="1">
      <alignment vertical="center"/>
    </xf>
    <xf numFmtId="203" fontId="3" fillId="0" borderId="4" xfId="17" applyNumberFormat="1" applyFont="1" applyFill="1" applyBorder="1" applyAlignment="1">
      <alignment horizontal="right" vertical="center"/>
    </xf>
    <xf numFmtId="203" fontId="3" fillId="0" borderId="2" xfId="17" applyNumberFormat="1" applyFont="1" applyFill="1" applyBorder="1" applyAlignment="1">
      <alignment horizontal="right" vertical="center"/>
    </xf>
    <xf numFmtId="189" fontId="1" fillId="0" borderId="22" xfId="0" applyNumberFormat="1" applyFont="1" applyBorder="1" applyAlignment="1">
      <alignment vertical="center"/>
    </xf>
    <xf numFmtId="188" fontId="18" fillId="0" borderId="32" xfId="0" applyNumberFormat="1" applyFont="1" applyFill="1" applyBorder="1" applyAlignment="1">
      <alignment vertical="center" wrapText="1" shrinkToFit="1"/>
    </xf>
    <xf numFmtId="194" fontId="13" fillId="0" borderId="15" xfId="0" applyNumberFormat="1" applyFont="1" applyFill="1" applyBorder="1" applyAlignment="1">
      <alignment vertical="center" wrapText="1" shrinkToFit="1"/>
    </xf>
    <xf numFmtId="188" fontId="13" fillId="0" borderId="15" xfId="0" applyNumberFormat="1" applyFont="1" applyFill="1" applyBorder="1" applyAlignment="1">
      <alignment vertical="center" wrapText="1" shrinkToFit="1"/>
    </xf>
    <xf numFmtId="188" fontId="6" fillId="0" borderId="15" xfId="0" applyNumberFormat="1" applyFont="1" applyFill="1" applyBorder="1" applyAlignment="1">
      <alignment horizontal="center" vertical="center" wrapText="1"/>
    </xf>
    <xf numFmtId="181" fontId="3" fillId="0" borderId="57" xfId="17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81" fontId="3" fillId="2" borderId="89" xfId="17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9" fontId="7" fillId="3" borderId="89" xfId="0" applyNumberFormat="1" applyFont="1" applyFill="1" applyBorder="1" applyAlignment="1">
      <alignment horizontal="left" vertical="center" shrinkToFit="1"/>
    </xf>
    <xf numFmtId="49" fontId="7" fillId="3" borderId="18" xfId="0" applyNumberFormat="1" applyFont="1" applyFill="1" applyBorder="1" applyAlignment="1">
      <alignment horizontal="left" vertical="center" shrinkToFit="1"/>
    </xf>
    <xf numFmtId="49" fontId="7" fillId="3" borderId="81" xfId="0" applyNumberFormat="1" applyFont="1" applyFill="1" applyBorder="1" applyAlignment="1">
      <alignment horizontal="left" vertical="center" shrinkToFit="1"/>
    </xf>
    <xf numFmtId="49" fontId="7" fillId="3" borderId="10" xfId="0" applyNumberFormat="1" applyFont="1" applyFill="1" applyBorder="1" applyAlignment="1">
      <alignment horizontal="left" vertical="center" shrinkToFit="1"/>
    </xf>
    <xf numFmtId="49" fontId="7" fillId="3" borderId="5" xfId="0" applyNumberFormat="1" applyFont="1" applyFill="1" applyBorder="1" applyAlignment="1">
      <alignment horizontal="left" vertical="center" shrinkToFit="1"/>
    </xf>
    <xf numFmtId="49" fontId="7" fillId="3" borderId="73" xfId="0" applyNumberFormat="1" applyFont="1" applyFill="1" applyBorder="1" applyAlignment="1">
      <alignment horizontal="left" vertical="center" shrinkToFit="1"/>
    </xf>
    <xf numFmtId="49" fontId="7" fillId="4" borderId="89" xfId="0" applyNumberFormat="1" applyFont="1" applyFill="1" applyBorder="1" applyAlignment="1">
      <alignment horizontal="left" vertical="center" shrinkToFit="1"/>
    </xf>
    <xf numFmtId="49" fontId="7" fillId="4" borderId="81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2" borderId="70" xfId="0" applyNumberFormat="1" applyFont="1" applyFill="1" applyBorder="1" applyAlignment="1">
      <alignment horizontal="center" vertical="center" shrinkToFit="1"/>
    </xf>
    <xf numFmtId="49" fontId="7" fillId="2" borderId="71" xfId="0" applyNumberFormat="1" applyFont="1" applyFill="1" applyBorder="1" applyAlignment="1">
      <alignment horizontal="center" vertical="center" shrinkToFit="1"/>
    </xf>
    <xf numFmtId="49" fontId="7" fillId="0" borderId="91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79" xfId="0" applyNumberFormat="1" applyFont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181" fontId="7" fillId="2" borderId="71" xfId="17" applyFont="1" applyFill="1" applyBorder="1" applyAlignment="1">
      <alignment horizontal="center" vertical="center" wrapText="1"/>
    </xf>
    <xf numFmtId="181" fontId="7" fillId="2" borderId="44" xfId="17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 wrapText="1" shrinkToFit="1"/>
    </xf>
    <xf numFmtId="0" fontId="8" fillId="2" borderId="44" xfId="0" applyFont="1" applyFill="1" applyBorder="1" applyAlignment="1">
      <alignment horizontal="center" vertical="center" shrinkToFit="1"/>
    </xf>
    <xf numFmtId="181" fontId="7" fillId="2" borderId="71" xfId="17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3"/>
  <sheetViews>
    <sheetView showGridLines="0" zoomScaleSheetLayoutView="90" workbookViewId="0" topLeftCell="B1">
      <selection activeCell="F401" sqref="F401"/>
    </sheetView>
  </sheetViews>
  <sheetFormatPr defaultColWidth="8.88671875" defaultRowHeight="13.5"/>
  <cols>
    <col min="1" max="1" width="2.6640625" style="2" hidden="1" customWidth="1"/>
    <col min="2" max="2" width="2.3359375" style="39" customWidth="1"/>
    <col min="3" max="3" width="2.4453125" style="39" customWidth="1"/>
    <col min="4" max="4" width="8.5546875" style="206" customWidth="1"/>
    <col min="5" max="5" width="7.3359375" style="93" customWidth="1"/>
    <col min="6" max="6" width="6.88671875" style="3" customWidth="1"/>
    <col min="7" max="7" width="6.77734375" style="3" customWidth="1"/>
    <col min="8" max="8" width="7.21484375" style="63" customWidth="1"/>
    <col min="9" max="9" width="9.99609375" style="154" customWidth="1"/>
    <col min="10" max="10" width="7.3359375" style="288" customWidth="1"/>
    <col min="11" max="11" width="7.99609375" style="154" customWidth="1"/>
    <col min="12" max="12" width="2.10546875" style="27" customWidth="1"/>
    <col min="13" max="13" width="10.21484375" style="2" customWidth="1"/>
    <col min="14" max="14" width="4.4453125" style="0" customWidth="1"/>
    <col min="15" max="15" width="6.5546875" style="0" customWidth="1"/>
    <col min="16" max="16" width="6.6640625" style="0" customWidth="1"/>
    <col min="17" max="17" width="6.4453125" style="0" customWidth="1"/>
    <col min="18" max="18" width="5.5546875" style="0" customWidth="1"/>
    <col min="19" max="19" width="6.3359375" style="0" customWidth="1"/>
    <col min="20" max="20" width="5.3359375" style="0" customWidth="1"/>
    <col min="21" max="21" width="1.33203125" style="0" customWidth="1"/>
    <col min="23" max="16384" width="8.88671875" style="2" customWidth="1"/>
  </cols>
  <sheetData>
    <row r="1" spans="14:22" ht="13.5">
      <c r="N1" s="2"/>
      <c r="O1" s="2"/>
      <c r="P1" s="2"/>
      <c r="Q1" s="2"/>
      <c r="R1" s="2"/>
      <c r="S1" s="2"/>
      <c r="T1" s="2"/>
      <c r="U1" s="2"/>
      <c r="V1" s="26"/>
    </row>
    <row r="2" spans="1:22" ht="36" customHeight="1">
      <c r="A2" s="690" t="s">
        <v>934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1"/>
      <c r="P2" s="691"/>
      <c r="Q2" s="691"/>
      <c r="R2" s="691"/>
      <c r="S2" s="691"/>
      <c r="T2" s="691"/>
      <c r="U2" s="2"/>
      <c r="V2" s="26"/>
    </row>
    <row r="3" spans="1:22" ht="16.5" customHeight="1">
      <c r="A3" s="1"/>
      <c r="B3" s="40"/>
      <c r="C3" s="40"/>
      <c r="E3" s="94"/>
      <c r="H3" s="64"/>
      <c r="L3" s="675"/>
      <c r="M3" s="675"/>
      <c r="N3" s="393"/>
      <c r="O3" s="393"/>
      <c r="P3" s="393"/>
      <c r="Q3" s="393"/>
      <c r="R3" s="393"/>
      <c r="S3" s="675" t="s">
        <v>208</v>
      </c>
      <c r="T3" s="675"/>
      <c r="U3" s="2"/>
      <c r="V3" s="26"/>
    </row>
    <row r="4" spans="1:22" ht="24.75" customHeight="1">
      <c r="A4" s="1"/>
      <c r="B4" s="692" t="s">
        <v>367</v>
      </c>
      <c r="C4" s="693"/>
      <c r="D4" s="693"/>
      <c r="E4" s="700" t="s">
        <v>669</v>
      </c>
      <c r="F4" s="702" t="s">
        <v>374</v>
      </c>
      <c r="G4" s="676" t="s">
        <v>368</v>
      </c>
      <c r="H4" s="699"/>
      <c r="I4" s="697" t="s">
        <v>369</v>
      </c>
      <c r="J4" s="697"/>
      <c r="K4" s="697"/>
      <c r="L4" s="697"/>
      <c r="M4" s="697"/>
      <c r="N4" s="676" t="s">
        <v>872</v>
      </c>
      <c r="O4" s="676"/>
      <c r="P4" s="676"/>
      <c r="Q4" s="676"/>
      <c r="R4" s="676"/>
      <c r="S4" s="676"/>
      <c r="T4" s="677"/>
      <c r="U4" s="2"/>
      <c r="V4" s="26"/>
    </row>
    <row r="5" spans="1:22" ht="24.75" customHeight="1" thickBot="1">
      <c r="A5" s="1"/>
      <c r="B5" s="505" t="s">
        <v>370</v>
      </c>
      <c r="C5" s="506" t="s">
        <v>371</v>
      </c>
      <c r="D5" s="506" t="s">
        <v>76</v>
      </c>
      <c r="E5" s="701"/>
      <c r="F5" s="703"/>
      <c r="G5" s="357" t="s">
        <v>372</v>
      </c>
      <c r="H5" s="357" t="s">
        <v>373</v>
      </c>
      <c r="I5" s="698"/>
      <c r="J5" s="698"/>
      <c r="K5" s="698"/>
      <c r="L5" s="698"/>
      <c r="M5" s="698"/>
      <c r="N5" s="507" t="s">
        <v>873</v>
      </c>
      <c r="O5" s="507" t="s">
        <v>874</v>
      </c>
      <c r="P5" s="507" t="s">
        <v>875</v>
      </c>
      <c r="Q5" s="507" t="s">
        <v>876</v>
      </c>
      <c r="R5" s="507" t="s">
        <v>877</v>
      </c>
      <c r="S5" s="507" t="s">
        <v>899</v>
      </c>
      <c r="T5" s="508" t="s">
        <v>879</v>
      </c>
      <c r="U5" s="2"/>
      <c r="V5" s="394" t="s">
        <v>880</v>
      </c>
    </row>
    <row r="6" spans="1:22" ht="24" customHeight="1" thickBot="1" thickTop="1">
      <c r="A6" s="1"/>
      <c r="B6" s="694" t="s">
        <v>231</v>
      </c>
      <c r="C6" s="695"/>
      <c r="D6" s="696"/>
      <c r="E6" s="95">
        <f>E7+E31+E35+E78+E82+E86+E93</f>
        <v>624644.087</v>
      </c>
      <c r="F6" s="95">
        <f>F7+F31+F35+F78+F82+F86+F93</f>
        <v>668123</v>
      </c>
      <c r="G6" s="474">
        <f>E6-F6</f>
        <v>-43478.91299999994</v>
      </c>
      <c r="H6" s="359">
        <f>G6/F6</f>
        <v>-0.06507621051812307</v>
      </c>
      <c r="I6" s="155"/>
      <c r="J6" s="342"/>
      <c r="K6" s="332"/>
      <c r="L6" s="60"/>
      <c r="M6" s="439">
        <f aca="true" t="shared" si="0" ref="M6:T6">M7+M31+M35+M78+M82+M86+M93</f>
        <v>624644.087</v>
      </c>
      <c r="N6" s="462">
        <f t="shared" si="0"/>
        <v>0</v>
      </c>
      <c r="O6" s="95">
        <f t="shared" si="0"/>
        <v>194147</v>
      </c>
      <c r="P6" s="95">
        <f>P7+P31+P35+P78+P82+P86+P93</f>
        <v>220148</v>
      </c>
      <c r="Q6" s="95">
        <f t="shared" si="0"/>
        <v>148440</v>
      </c>
      <c r="R6" s="95">
        <f t="shared" si="0"/>
        <v>25000</v>
      </c>
      <c r="S6" s="95">
        <f t="shared" si="0"/>
        <v>35820</v>
      </c>
      <c r="T6" s="463">
        <f t="shared" si="0"/>
        <v>1089</v>
      </c>
      <c r="U6" s="2"/>
      <c r="V6" s="396">
        <f>SUM(N6:T6)</f>
        <v>624644</v>
      </c>
    </row>
    <row r="7" spans="2:22" ht="24" customHeight="1" thickTop="1">
      <c r="B7" s="685" t="s">
        <v>237</v>
      </c>
      <c r="C7" s="686"/>
      <c r="D7" s="687"/>
      <c r="E7" s="97">
        <f>E8</f>
        <v>35820</v>
      </c>
      <c r="F7" s="97">
        <f>F8</f>
        <v>27095</v>
      </c>
      <c r="G7" s="98">
        <f>E7-F7</f>
        <v>8725</v>
      </c>
      <c r="H7" s="66">
        <f>G7/F7</f>
        <v>0.32201513194316295</v>
      </c>
      <c r="I7" s="156"/>
      <c r="J7" s="289"/>
      <c r="K7" s="281"/>
      <c r="L7" s="59"/>
      <c r="M7" s="440">
        <f aca="true" t="shared" si="1" ref="M7:T7">M8</f>
        <v>35820</v>
      </c>
      <c r="N7" s="97">
        <f t="shared" si="1"/>
        <v>0</v>
      </c>
      <c r="O7" s="97">
        <f t="shared" si="1"/>
        <v>0</v>
      </c>
      <c r="P7" s="97">
        <f t="shared" si="1"/>
        <v>0</v>
      </c>
      <c r="Q7" s="97">
        <f t="shared" si="1"/>
        <v>0</v>
      </c>
      <c r="R7" s="97">
        <f t="shared" si="1"/>
        <v>0</v>
      </c>
      <c r="S7" s="97">
        <f t="shared" si="1"/>
        <v>35820</v>
      </c>
      <c r="T7" s="480">
        <f t="shared" si="1"/>
        <v>0</v>
      </c>
      <c r="U7" s="2"/>
      <c r="V7" s="396">
        <f aca="true" t="shared" si="2" ref="V7:V66">SUM(N7:T7)</f>
        <v>35820</v>
      </c>
    </row>
    <row r="8" spans="2:22" ht="24" customHeight="1">
      <c r="B8" s="47"/>
      <c r="C8" s="688" t="s">
        <v>238</v>
      </c>
      <c r="D8" s="689"/>
      <c r="E8" s="99">
        <f>SUM(E9,E19,E23,E28)</f>
        <v>35820</v>
      </c>
      <c r="F8" s="99">
        <f>SUM(F9,F19,F23,F28)</f>
        <v>27095</v>
      </c>
      <c r="G8" s="100">
        <f>E8-F8</f>
        <v>8725</v>
      </c>
      <c r="H8" s="67">
        <f>G8/F8</f>
        <v>0.32201513194316295</v>
      </c>
      <c r="I8" s="157"/>
      <c r="J8" s="290"/>
      <c r="K8" s="282"/>
      <c r="L8" s="62"/>
      <c r="M8" s="441">
        <f>M10+M12+M20+M24+M29</f>
        <v>35820</v>
      </c>
      <c r="N8" s="99">
        <f>SUM(N9,N19,N23,N28)</f>
        <v>0</v>
      </c>
      <c r="O8" s="99">
        <f>SUM(O9,O19,O23,O28)</f>
        <v>0</v>
      </c>
      <c r="P8" s="99">
        <f>SUM(P9,P19,P23,P28)</f>
        <v>0</v>
      </c>
      <c r="Q8" s="99">
        <f>SUM(Q9,Q19,Q23,Q28)</f>
        <v>0</v>
      </c>
      <c r="R8" s="99">
        <f>SUM(R9,R19,R23,R28)</f>
        <v>0</v>
      </c>
      <c r="S8" s="99">
        <f>SUM(S11:S30)</f>
        <v>35820</v>
      </c>
      <c r="T8" s="481">
        <f>SUM(T9,T19,T23,T28)</f>
        <v>0</v>
      </c>
      <c r="U8" s="2"/>
      <c r="V8" s="396">
        <f>SUM(N8:T8)</f>
        <v>35820</v>
      </c>
    </row>
    <row r="9" spans="2:22" ht="18.75" customHeight="1">
      <c r="B9" s="47"/>
      <c r="C9" s="51"/>
      <c r="D9" s="234" t="s">
        <v>375</v>
      </c>
      <c r="E9" s="101">
        <f>M10+M12</f>
        <v>13780</v>
      </c>
      <c r="F9" s="102">
        <v>9990</v>
      </c>
      <c r="G9" s="102">
        <f>E9-F9</f>
        <v>3790</v>
      </c>
      <c r="H9" s="68">
        <f>G9/F9</f>
        <v>0.3793793793793794</v>
      </c>
      <c r="I9" s="158"/>
      <c r="J9" s="291"/>
      <c r="K9" s="283"/>
      <c r="L9" s="55"/>
      <c r="M9" s="442"/>
      <c r="N9" s="418"/>
      <c r="O9" s="419"/>
      <c r="P9" s="419"/>
      <c r="Q9" s="419"/>
      <c r="R9" s="419"/>
      <c r="S9" s="419"/>
      <c r="T9" s="420"/>
      <c r="U9" s="2"/>
      <c r="V9" s="396">
        <f t="shared" si="2"/>
        <v>0</v>
      </c>
    </row>
    <row r="10" spans="2:22" ht="18.75" customHeight="1">
      <c r="B10" s="47"/>
      <c r="C10" s="51"/>
      <c r="D10" s="207" t="s">
        <v>266</v>
      </c>
      <c r="E10" s="103"/>
      <c r="F10" s="104"/>
      <c r="G10" s="104"/>
      <c r="H10" s="69"/>
      <c r="I10" s="159" t="s">
        <v>544</v>
      </c>
      <c r="J10" s="292"/>
      <c r="K10" s="284"/>
      <c r="L10" s="54"/>
      <c r="M10" s="443">
        <f>M11</f>
        <v>600</v>
      </c>
      <c r="N10" s="404"/>
      <c r="O10" s="405"/>
      <c r="P10" s="406"/>
      <c r="Q10" s="406"/>
      <c r="R10" s="406"/>
      <c r="S10" s="406"/>
      <c r="T10" s="407"/>
      <c r="U10" s="2"/>
      <c r="V10" s="396">
        <f t="shared" si="2"/>
        <v>0</v>
      </c>
    </row>
    <row r="11" spans="2:22" ht="18.75" customHeight="1">
      <c r="B11" s="47"/>
      <c r="C11" s="51"/>
      <c r="D11" s="207"/>
      <c r="E11" s="103"/>
      <c r="F11" s="104"/>
      <c r="G11" s="104"/>
      <c r="H11" s="69"/>
      <c r="I11" s="159" t="s">
        <v>658</v>
      </c>
      <c r="J11" s="292">
        <v>30000</v>
      </c>
      <c r="K11" s="284" t="s">
        <v>659</v>
      </c>
      <c r="L11" s="54" t="s">
        <v>239</v>
      </c>
      <c r="M11" s="443">
        <f>J11*20/1000</f>
        <v>600</v>
      </c>
      <c r="N11" s="414"/>
      <c r="O11" s="415"/>
      <c r="P11" s="415"/>
      <c r="Q11" s="415"/>
      <c r="R11" s="415"/>
      <c r="S11" s="415">
        <v>600</v>
      </c>
      <c r="T11" s="416"/>
      <c r="U11" s="2"/>
      <c r="V11" s="396">
        <f t="shared" si="2"/>
        <v>600</v>
      </c>
    </row>
    <row r="12" spans="2:22" ht="18.75" customHeight="1">
      <c r="B12" s="47"/>
      <c r="C12" s="51"/>
      <c r="D12" s="207"/>
      <c r="E12" s="103"/>
      <c r="F12" s="104"/>
      <c r="G12" s="104"/>
      <c r="H12" s="69"/>
      <c r="I12" s="159" t="s">
        <v>498</v>
      </c>
      <c r="J12" s="292"/>
      <c r="K12" s="284"/>
      <c r="L12" s="54"/>
      <c r="M12" s="443">
        <f>SUM(M13,M14,M15,M16,)</f>
        <v>13180</v>
      </c>
      <c r="N12" s="414"/>
      <c r="O12" s="415"/>
      <c r="P12" s="415"/>
      <c r="Q12" s="415"/>
      <c r="R12" s="415"/>
      <c r="S12" s="415"/>
      <c r="T12" s="416"/>
      <c r="U12" s="2"/>
      <c r="V12" s="396">
        <f t="shared" si="2"/>
        <v>0</v>
      </c>
    </row>
    <row r="13" spans="2:22" ht="18.75" customHeight="1">
      <c r="B13" s="47"/>
      <c r="C13" s="51"/>
      <c r="D13" s="207"/>
      <c r="E13" s="103"/>
      <c r="F13" s="104"/>
      <c r="G13" s="104"/>
      <c r="H13" s="69"/>
      <c r="I13" s="159" t="s">
        <v>660</v>
      </c>
      <c r="J13" s="292">
        <v>70000</v>
      </c>
      <c r="K13" s="284" t="s">
        <v>579</v>
      </c>
      <c r="L13" s="54" t="s">
        <v>239</v>
      </c>
      <c r="M13" s="443">
        <f>J13*7*12/1000</f>
        <v>5880</v>
      </c>
      <c r="N13" s="414"/>
      <c r="O13" s="415"/>
      <c r="P13" s="415"/>
      <c r="Q13" s="415"/>
      <c r="R13" s="415"/>
      <c r="S13" s="415">
        <v>5880</v>
      </c>
      <c r="T13" s="416"/>
      <c r="U13" s="2"/>
      <c r="V13" s="396">
        <f t="shared" si="2"/>
        <v>5880</v>
      </c>
    </row>
    <row r="14" spans="2:22" ht="18.75" customHeight="1">
      <c r="B14" s="47"/>
      <c r="C14" s="51"/>
      <c r="D14" s="207"/>
      <c r="E14" s="103"/>
      <c r="F14" s="104"/>
      <c r="G14" s="104"/>
      <c r="H14" s="69"/>
      <c r="I14" s="159" t="s">
        <v>661</v>
      </c>
      <c r="J14" s="292">
        <v>50000</v>
      </c>
      <c r="K14" s="284" t="s">
        <v>664</v>
      </c>
      <c r="L14" s="54" t="s">
        <v>239</v>
      </c>
      <c r="M14" s="443">
        <f>J14*7*10/1000</f>
        <v>3500</v>
      </c>
      <c r="N14" s="414"/>
      <c r="O14" s="415"/>
      <c r="P14" s="415"/>
      <c r="Q14" s="415"/>
      <c r="R14" s="415"/>
      <c r="S14" s="415">
        <v>3500</v>
      </c>
      <c r="T14" s="416"/>
      <c r="U14" s="2"/>
      <c r="V14" s="396">
        <f t="shared" si="2"/>
        <v>3500</v>
      </c>
    </row>
    <row r="15" spans="2:22" ht="18.75" customHeight="1">
      <c r="B15" s="47"/>
      <c r="C15" s="51"/>
      <c r="D15" s="207"/>
      <c r="E15" s="103"/>
      <c r="F15" s="104"/>
      <c r="G15" s="104"/>
      <c r="H15" s="69"/>
      <c r="I15" s="159" t="s">
        <v>662</v>
      </c>
      <c r="J15" s="292">
        <v>50000</v>
      </c>
      <c r="K15" s="284" t="s">
        <v>664</v>
      </c>
      <c r="L15" s="54" t="s">
        <v>239</v>
      </c>
      <c r="M15" s="443">
        <f>J15*7*10/1000</f>
        <v>3500</v>
      </c>
      <c r="N15" s="414"/>
      <c r="O15" s="467"/>
      <c r="P15" s="415"/>
      <c r="Q15" s="415"/>
      <c r="R15" s="415"/>
      <c r="S15" s="415">
        <v>3500</v>
      </c>
      <c r="T15" s="416"/>
      <c r="U15" s="2"/>
      <c r="V15" s="396">
        <f t="shared" si="2"/>
        <v>3500</v>
      </c>
    </row>
    <row r="16" spans="2:22" ht="18.75" customHeight="1">
      <c r="B16" s="47"/>
      <c r="C16" s="51"/>
      <c r="D16" s="208"/>
      <c r="E16" s="105"/>
      <c r="F16" s="106"/>
      <c r="G16" s="106"/>
      <c r="H16" s="70"/>
      <c r="I16" s="160" t="s">
        <v>663</v>
      </c>
      <c r="J16" s="293">
        <v>20000</v>
      </c>
      <c r="K16" s="285" t="s">
        <v>665</v>
      </c>
      <c r="L16" s="54" t="s">
        <v>239</v>
      </c>
      <c r="M16" s="444">
        <f>J16*15/1000</f>
        <v>300</v>
      </c>
      <c r="N16" s="414"/>
      <c r="O16" s="415"/>
      <c r="P16" s="415"/>
      <c r="Q16" s="415"/>
      <c r="R16" s="415"/>
      <c r="S16" s="415">
        <v>300</v>
      </c>
      <c r="T16" s="416"/>
      <c r="U16" s="2"/>
      <c r="V16" s="396">
        <f t="shared" si="2"/>
        <v>300</v>
      </c>
    </row>
    <row r="17" spans="2:22" ht="18.75" customHeight="1">
      <c r="B17" s="47"/>
      <c r="C17" s="51"/>
      <c r="D17" s="234" t="s">
        <v>175</v>
      </c>
      <c r="E17" s="101"/>
      <c r="F17" s="102"/>
      <c r="G17" s="102"/>
      <c r="H17" s="68"/>
      <c r="I17" s="158"/>
      <c r="J17" s="291"/>
      <c r="K17" s="283"/>
      <c r="L17" s="55"/>
      <c r="M17" s="442"/>
      <c r="N17" s="414"/>
      <c r="O17" s="415"/>
      <c r="P17" s="415"/>
      <c r="Q17" s="415"/>
      <c r="R17" s="415"/>
      <c r="S17" s="415"/>
      <c r="T17" s="416"/>
      <c r="U17" s="2"/>
      <c r="V17" s="396">
        <f t="shared" si="2"/>
        <v>0</v>
      </c>
    </row>
    <row r="18" spans="2:22" ht="18.75" customHeight="1">
      <c r="B18" s="47"/>
      <c r="C18" s="51"/>
      <c r="D18" s="207" t="s">
        <v>267</v>
      </c>
      <c r="E18" s="103"/>
      <c r="F18" s="104"/>
      <c r="G18" s="104"/>
      <c r="H18" s="69"/>
      <c r="I18" s="159"/>
      <c r="J18" s="292"/>
      <c r="K18" s="284"/>
      <c r="L18" s="54"/>
      <c r="M18" s="443"/>
      <c r="N18" s="414"/>
      <c r="O18" s="415"/>
      <c r="P18" s="415"/>
      <c r="Q18" s="415"/>
      <c r="R18" s="415"/>
      <c r="S18" s="415"/>
      <c r="T18" s="416"/>
      <c r="U18" s="2"/>
      <c r="V18" s="396">
        <f t="shared" si="2"/>
        <v>0</v>
      </c>
    </row>
    <row r="19" spans="2:22" ht="18.75" customHeight="1">
      <c r="B19" s="47"/>
      <c r="C19" s="51"/>
      <c r="D19" s="234" t="s">
        <v>67</v>
      </c>
      <c r="E19" s="101">
        <f>M20</f>
        <v>15600</v>
      </c>
      <c r="F19" s="102">
        <v>13050</v>
      </c>
      <c r="G19" s="102">
        <f>E19-F19</f>
        <v>2550</v>
      </c>
      <c r="H19" s="68">
        <f>G19/F19</f>
        <v>0.19540229885057472</v>
      </c>
      <c r="I19" s="161"/>
      <c r="J19" s="343"/>
      <c r="K19" s="333"/>
      <c r="L19" s="55"/>
      <c r="M19" s="442"/>
      <c r="N19" s="414"/>
      <c r="O19" s="467"/>
      <c r="P19" s="415"/>
      <c r="Q19" s="415"/>
      <c r="R19" s="415"/>
      <c r="S19" s="415"/>
      <c r="T19" s="416"/>
      <c r="U19" s="2"/>
      <c r="V19" s="396">
        <f t="shared" si="2"/>
        <v>0</v>
      </c>
    </row>
    <row r="20" spans="2:22" ht="18.75" customHeight="1">
      <c r="B20" s="47"/>
      <c r="C20" s="51"/>
      <c r="D20" s="207" t="s">
        <v>268</v>
      </c>
      <c r="E20" s="103"/>
      <c r="F20" s="104"/>
      <c r="G20" s="104"/>
      <c r="H20" s="69"/>
      <c r="I20" s="159" t="s">
        <v>545</v>
      </c>
      <c r="J20" s="292"/>
      <c r="K20" s="284"/>
      <c r="L20" s="54"/>
      <c r="M20" s="443">
        <f>M21+M22</f>
        <v>15600</v>
      </c>
      <c r="N20" s="414"/>
      <c r="O20" s="415"/>
      <c r="P20" s="415"/>
      <c r="Q20" s="415"/>
      <c r="R20" s="415"/>
      <c r="S20" s="415"/>
      <c r="T20" s="416"/>
      <c r="U20" s="2"/>
      <c r="V20" s="396">
        <f t="shared" si="2"/>
        <v>0</v>
      </c>
    </row>
    <row r="21" spans="2:22" ht="18.75" customHeight="1">
      <c r="B21" s="47"/>
      <c r="C21" s="51"/>
      <c r="D21" s="207"/>
      <c r="E21" s="103"/>
      <c r="F21" s="104"/>
      <c r="G21" s="104"/>
      <c r="H21" s="69"/>
      <c r="I21" s="160" t="s">
        <v>666</v>
      </c>
      <c r="J21" s="293">
        <v>120000</v>
      </c>
      <c r="K21" s="285" t="s">
        <v>866</v>
      </c>
      <c r="L21" s="54" t="s">
        <v>239</v>
      </c>
      <c r="M21" s="444">
        <f>J21*80/1000</f>
        <v>9600</v>
      </c>
      <c r="N21" s="414"/>
      <c r="O21" s="415"/>
      <c r="P21" s="415"/>
      <c r="Q21" s="415"/>
      <c r="R21" s="415"/>
      <c r="S21" s="415">
        <v>9600</v>
      </c>
      <c r="T21" s="416"/>
      <c r="U21" s="2"/>
      <c r="V21" s="396">
        <f t="shared" si="2"/>
        <v>9600</v>
      </c>
    </row>
    <row r="22" spans="2:22" ht="18.75" customHeight="1">
      <c r="B22" s="47"/>
      <c r="C22" s="51"/>
      <c r="D22" s="207"/>
      <c r="E22" s="103"/>
      <c r="F22" s="104"/>
      <c r="G22" s="104"/>
      <c r="H22" s="69"/>
      <c r="I22" s="160" t="s">
        <v>667</v>
      </c>
      <c r="J22" s="293"/>
      <c r="K22" s="285"/>
      <c r="L22" s="54" t="s">
        <v>239</v>
      </c>
      <c r="M22" s="444">
        <f>6000000/1000</f>
        <v>6000</v>
      </c>
      <c r="N22" s="414"/>
      <c r="O22" s="415"/>
      <c r="P22" s="415"/>
      <c r="Q22" s="415"/>
      <c r="R22" s="415"/>
      <c r="S22" s="415">
        <v>6000</v>
      </c>
      <c r="T22" s="416"/>
      <c r="U22" s="2"/>
      <c r="V22" s="396">
        <f t="shared" si="2"/>
        <v>6000</v>
      </c>
    </row>
    <row r="23" spans="2:22" ht="18.75" customHeight="1">
      <c r="B23" s="47"/>
      <c r="C23" s="51"/>
      <c r="D23" s="234" t="s">
        <v>269</v>
      </c>
      <c r="E23" s="101">
        <f>M24</f>
        <v>5000</v>
      </c>
      <c r="F23" s="102">
        <v>2795</v>
      </c>
      <c r="G23" s="102">
        <f>E23-F23</f>
        <v>2205</v>
      </c>
      <c r="H23" s="68">
        <f>G23/F23</f>
        <v>0.7889087656529516</v>
      </c>
      <c r="I23" s="161"/>
      <c r="J23" s="343"/>
      <c r="K23" s="333"/>
      <c r="L23" s="55"/>
      <c r="M23" s="442"/>
      <c r="N23" s="414"/>
      <c r="O23" s="467"/>
      <c r="P23" s="415"/>
      <c r="Q23" s="415"/>
      <c r="R23" s="415"/>
      <c r="S23" s="415"/>
      <c r="T23" s="416"/>
      <c r="U23" s="2"/>
      <c r="V23" s="396">
        <f t="shared" si="2"/>
        <v>0</v>
      </c>
    </row>
    <row r="24" spans="2:22" ht="18.75" customHeight="1">
      <c r="B24" s="449"/>
      <c r="C24" s="52"/>
      <c r="D24" s="450" t="s">
        <v>69</v>
      </c>
      <c r="E24" s="109"/>
      <c r="F24" s="110"/>
      <c r="G24" s="110"/>
      <c r="H24" s="72"/>
      <c r="I24" s="355" t="s">
        <v>546</v>
      </c>
      <c r="J24" s="352"/>
      <c r="K24" s="356"/>
      <c r="L24" s="308"/>
      <c r="M24" s="448">
        <f>SUM(M25,M26,M27)</f>
        <v>5000</v>
      </c>
      <c r="N24" s="431"/>
      <c r="O24" s="432"/>
      <c r="P24" s="432"/>
      <c r="Q24" s="432"/>
      <c r="R24" s="432"/>
      <c r="S24" s="432"/>
      <c r="T24" s="433"/>
      <c r="U24" s="2"/>
      <c r="V24" s="396">
        <f t="shared" si="2"/>
        <v>0</v>
      </c>
    </row>
    <row r="25" spans="2:22" ht="18.75" customHeight="1">
      <c r="B25" s="451"/>
      <c r="C25" s="57"/>
      <c r="D25" s="509"/>
      <c r="E25" s="304"/>
      <c r="F25" s="305"/>
      <c r="G25" s="305"/>
      <c r="H25" s="510"/>
      <c r="I25" s="511" t="s">
        <v>668</v>
      </c>
      <c r="J25" s="512">
        <v>30000</v>
      </c>
      <c r="K25" s="513" t="s">
        <v>659</v>
      </c>
      <c r="L25" s="242" t="s">
        <v>143</v>
      </c>
      <c r="M25" s="514">
        <f>J25*20/1000</f>
        <v>600</v>
      </c>
      <c r="N25" s="468"/>
      <c r="O25" s="469"/>
      <c r="P25" s="469"/>
      <c r="Q25" s="469"/>
      <c r="R25" s="469"/>
      <c r="S25" s="469">
        <v>600</v>
      </c>
      <c r="T25" s="470"/>
      <c r="U25" s="2"/>
      <c r="V25" s="396">
        <f t="shared" si="2"/>
        <v>600</v>
      </c>
    </row>
    <row r="26" spans="2:22" ht="18.75" customHeight="1">
      <c r="B26" s="47"/>
      <c r="C26" s="51"/>
      <c r="D26" s="207"/>
      <c r="E26" s="103"/>
      <c r="F26" s="104"/>
      <c r="G26" s="104"/>
      <c r="H26" s="69"/>
      <c r="I26" s="159" t="s">
        <v>671</v>
      </c>
      <c r="J26" s="292">
        <v>30000</v>
      </c>
      <c r="K26" s="284" t="s">
        <v>670</v>
      </c>
      <c r="L26" s="54" t="s">
        <v>143</v>
      </c>
      <c r="M26" s="443">
        <f>J26*10*12/1000</f>
        <v>3600</v>
      </c>
      <c r="N26" s="404"/>
      <c r="O26" s="406"/>
      <c r="P26" s="406"/>
      <c r="Q26" s="406"/>
      <c r="R26" s="406"/>
      <c r="S26" s="406">
        <v>3600</v>
      </c>
      <c r="T26" s="407"/>
      <c r="U26" s="2"/>
      <c r="V26" s="396">
        <f t="shared" si="2"/>
        <v>3600</v>
      </c>
    </row>
    <row r="27" spans="2:22" ht="18.75" customHeight="1">
      <c r="B27" s="47"/>
      <c r="C27" s="51"/>
      <c r="D27" s="207"/>
      <c r="E27" s="103"/>
      <c r="F27" s="104"/>
      <c r="G27" s="104"/>
      <c r="H27" s="69"/>
      <c r="I27" s="159" t="s">
        <v>672</v>
      </c>
      <c r="J27" s="292">
        <v>25000</v>
      </c>
      <c r="K27" s="284" t="s">
        <v>673</v>
      </c>
      <c r="L27" s="54" t="s">
        <v>239</v>
      </c>
      <c r="M27" s="443">
        <f>J27*32/1000</f>
        <v>800</v>
      </c>
      <c r="N27" s="414"/>
      <c r="O27" s="415"/>
      <c r="P27" s="415"/>
      <c r="Q27" s="415"/>
      <c r="R27" s="415"/>
      <c r="S27" s="415">
        <v>800</v>
      </c>
      <c r="T27" s="416"/>
      <c r="U27" s="2"/>
      <c r="V27" s="396">
        <f t="shared" si="2"/>
        <v>800</v>
      </c>
    </row>
    <row r="28" spans="2:22" ht="18.75" customHeight="1">
      <c r="B28" s="47"/>
      <c r="C28" s="51"/>
      <c r="D28" s="234" t="s">
        <v>68</v>
      </c>
      <c r="E28" s="101">
        <f>M29</f>
        <v>1440</v>
      </c>
      <c r="F28" s="102">
        <v>1260</v>
      </c>
      <c r="G28" s="102">
        <f>E28-F28</f>
        <v>180</v>
      </c>
      <c r="H28" s="68">
        <f>G28/F28</f>
        <v>0.14285714285714285</v>
      </c>
      <c r="I28" s="158"/>
      <c r="J28" s="291"/>
      <c r="K28" s="283"/>
      <c r="L28" s="55"/>
      <c r="M28" s="442"/>
      <c r="N28" s="414"/>
      <c r="O28" s="415"/>
      <c r="P28" s="415"/>
      <c r="Q28" s="415"/>
      <c r="R28" s="415"/>
      <c r="S28" s="415"/>
      <c r="T28" s="416"/>
      <c r="U28" s="2"/>
      <c r="V28" s="396">
        <f t="shared" si="2"/>
        <v>0</v>
      </c>
    </row>
    <row r="29" spans="2:22" ht="18.75" customHeight="1">
      <c r="B29" s="47"/>
      <c r="C29" s="51"/>
      <c r="D29" s="207" t="s">
        <v>70</v>
      </c>
      <c r="E29" s="103"/>
      <c r="F29" s="104"/>
      <c r="G29" s="104"/>
      <c r="H29" s="69"/>
      <c r="I29" s="159" t="s">
        <v>674</v>
      </c>
      <c r="J29" s="292"/>
      <c r="K29" s="284"/>
      <c r="L29" s="54"/>
      <c r="M29" s="443">
        <f>M30</f>
        <v>1440</v>
      </c>
      <c r="N29" s="414"/>
      <c r="O29" s="415"/>
      <c r="P29" s="415"/>
      <c r="Q29" s="415"/>
      <c r="R29" s="415"/>
      <c r="S29" s="415"/>
      <c r="T29" s="416"/>
      <c r="U29" s="2"/>
      <c r="V29" s="396">
        <f t="shared" si="2"/>
        <v>0</v>
      </c>
    </row>
    <row r="30" spans="2:22" ht="18.75" customHeight="1">
      <c r="B30" s="47"/>
      <c r="C30" s="51"/>
      <c r="D30" s="208"/>
      <c r="E30" s="105"/>
      <c r="F30" s="106"/>
      <c r="G30" s="106"/>
      <c r="H30" s="70"/>
      <c r="I30" s="160" t="s">
        <v>675</v>
      </c>
      <c r="J30" s="293">
        <v>30000</v>
      </c>
      <c r="K30" s="285" t="s">
        <v>676</v>
      </c>
      <c r="L30" s="54" t="s">
        <v>239</v>
      </c>
      <c r="M30" s="444">
        <f>J30*4*12/1000</f>
        <v>1440</v>
      </c>
      <c r="N30" s="431"/>
      <c r="O30" s="432"/>
      <c r="P30" s="432"/>
      <c r="Q30" s="432"/>
      <c r="R30" s="432"/>
      <c r="S30" s="432">
        <v>1440</v>
      </c>
      <c r="T30" s="433"/>
      <c r="U30" s="2"/>
      <c r="V30" s="396">
        <f t="shared" si="2"/>
        <v>1440</v>
      </c>
    </row>
    <row r="31" spans="2:22" ht="21" customHeight="1">
      <c r="B31" s="682" t="s">
        <v>240</v>
      </c>
      <c r="C31" s="683"/>
      <c r="D31" s="684"/>
      <c r="E31" s="107"/>
      <c r="F31" s="108"/>
      <c r="G31" s="108"/>
      <c r="H31" s="71"/>
      <c r="I31" s="162"/>
      <c r="J31" s="294"/>
      <c r="K31" s="286"/>
      <c r="L31" s="58"/>
      <c r="M31" s="445"/>
      <c r="N31" s="427"/>
      <c r="O31" s="428"/>
      <c r="P31" s="428"/>
      <c r="Q31" s="428"/>
      <c r="R31" s="428"/>
      <c r="S31" s="428"/>
      <c r="T31" s="429"/>
      <c r="U31" s="2"/>
      <c r="V31" s="396">
        <f t="shared" si="2"/>
        <v>0</v>
      </c>
    </row>
    <row r="32" spans="2:22" ht="21" customHeight="1">
      <c r="B32" s="451"/>
      <c r="C32" s="688" t="s">
        <v>241</v>
      </c>
      <c r="D32" s="689"/>
      <c r="E32" s="99"/>
      <c r="F32" s="100"/>
      <c r="G32" s="100"/>
      <c r="H32" s="67"/>
      <c r="I32" s="157"/>
      <c r="J32" s="290"/>
      <c r="K32" s="282"/>
      <c r="L32" s="62"/>
      <c r="M32" s="441"/>
      <c r="N32" s="398"/>
      <c r="O32" s="399"/>
      <c r="P32" s="399"/>
      <c r="Q32" s="399"/>
      <c r="R32" s="399"/>
      <c r="S32" s="399"/>
      <c r="T32" s="400"/>
      <c r="U32" s="2"/>
      <c r="V32" s="396">
        <f t="shared" si="2"/>
        <v>0</v>
      </c>
    </row>
    <row r="33" spans="2:22" ht="21" customHeight="1">
      <c r="B33" s="47"/>
      <c r="C33" s="51"/>
      <c r="D33" s="604" t="s">
        <v>71</v>
      </c>
      <c r="E33" s="105"/>
      <c r="F33" s="106"/>
      <c r="G33" s="106"/>
      <c r="H33" s="70"/>
      <c r="I33" s="511"/>
      <c r="J33" s="512"/>
      <c r="K33" s="513"/>
      <c r="L33" s="242"/>
      <c r="M33" s="514"/>
      <c r="N33" s="414"/>
      <c r="O33" s="406"/>
      <c r="P33" s="415"/>
      <c r="Q33" s="415"/>
      <c r="R33" s="415"/>
      <c r="S33" s="415"/>
      <c r="T33" s="416"/>
      <c r="U33" s="2"/>
      <c r="V33" s="396">
        <f t="shared" si="2"/>
        <v>0</v>
      </c>
    </row>
    <row r="34" spans="2:22" ht="21" customHeight="1">
      <c r="B34" s="449"/>
      <c r="C34" s="52"/>
      <c r="D34" s="450" t="s">
        <v>53</v>
      </c>
      <c r="E34" s="109"/>
      <c r="F34" s="110"/>
      <c r="G34" s="110"/>
      <c r="H34" s="72"/>
      <c r="I34" s="355"/>
      <c r="J34" s="352"/>
      <c r="K34" s="356"/>
      <c r="L34" s="308"/>
      <c r="M34" s="448"/>
      <c r="N34" s="404"/>
      <c r="O34" s="473"/>
      <c r="P34" s="473"/>
      <c r="Q34" s="406"/>
      <c r="R34" s="406"/>
      <c r="S34" s="406"/>
      <c r="T34" s="407"/>
      <c r="U34" s="2"/>
      <c r="V34" s="396">
        <f t="shared" si="2"/>
        <v>0</v>
      </c>
    </row>
    <row r="35" spans="2:22" ht="21" customHeight="1">
      <c r="B35" s="685" t="s">
        <v>242</v>
      </c>
      <c r="C35" s="686"/>
      <c r="D35" s="687"/>
      <c r="E35" s="107">
        <f>SUM(E36,E63,E66,E69)</f>
        <v>562735</v>
      </c>
      <c r="F35" s="107">
        <f>SUM(F36,F63,F66,F69)</f>
        <v>607309</v>
      </c>
      <c r="G35" s="317">
        <f>E35-F35</f>
        <v>-44574</v>
      </c>
      <c r="H35" s="364">
        <f>G35/F35</f>
        <v>-0.07339591542361466</v>
      </c>
      <c r="I35" s="360"/>
      <c r="J35" s="361"/>
      <c r="K35" s="362"/>
      <c r="L35" s="59"/>
      <c r="M35" s="440">
        <f>M36+M63+M66+M69</f>
        <v>562735</v>
      </c>
      <c r="N35" s="427">
        <v>0</v>
      </c>
      <c r="O35" s="107">
        <f>SUM(O36,O63,O66,O69)</f>
        <v>194147</v>
      </c>
      <c r="P35" s="107">
        <f>SUM(P36,P63,P66,P69)</f>
        <v>220148</v>
      </c>
      <c r="Q35" s="428">
        <f>Q36+Q63+Q66+Q69</f>
        <v>148440</v>
      </c>
      <c r="R35" s="428">
        <v>0</v>
      </c>
      <c r="S35" s="428">
        <v>0</v>
      </c>
      <c r="T35" s="429">
        <v>0</v>
      </c>
      <c r="U35" s="2"/>
      <c r="V35" s="396">
        <f t="shared" si="2"/>
        <v>562735</v>
      </c>
    </row>
    <row r="36" spans="2:22" ht="21" customHeight="1">
      <c r="B36" s="47"/>
      <c r="C36" s="688" t="s">
        <v>243</v>
      </c>
      <c r="D36" s="689"/>
      <c r="E36" s="363">
        <f>SUM(E37,E39,E41,E43,E45,E51,E53,E55,E57,E59,E61)</f>
        <v>414295</v>
      </c>
      <c r="F36" s="363">
        <f>SUM(F37,F39,F41,F43,F45,F51,F53,F55,F57,F59,F61)</f>
        <v>407244</v>
      </c>
      <c r="G36" s="315">
        <f>E36-F36</f>
        <v>7051</v>
      </c>
      <c r="H36" s="368">
        <f>G36/F36</f>
        <v>0.017313944465725706</v>
      </c>
      <c r="I36" s="157"/>
      <c r="J36" s="290"/>
      <c r="K36" s="282"/>
      <c r="L36" s="62"/>
      <c r="M36" s="477">
        <f>SUM(M38,M40,M42,M44,M46,M52,M54,M56,M58,M60)</f>
        <v>414295</v>
      </c>
      <c r="N36" s="478"/>
      <c r="O36" s="99">
        <f aca="true" t="shared" si="3" ref="O36:T36">SUM(O38,O40,O42,O46,O52,O54,O56,O58,O60)</f>
        <v>194147</v>
      </c>
      <c r="P36" s="99">
        <f>SUM(P38,P40,P42,P44,P46,P52,P54,P56,P58,P60)</f>
        <v>220148</v>
      </c>
      <c r="Q36" s="99">
        <f t="shared" si="3"/>
        <v>0</v>
      </c>
      <c r="R36" s="99">
        <f t="shared" si="3"/>
        <v>0</v>
      </c>
      <c r="S36" s="99">
        <f t="shared" si="3"/>
        <v>0</v>
      </c>
      <c r="T36" s="481">
        <f t="shared" si="3"/>
        <v>0</v>
      </c>
      <c r="U36" s="2"/>
      <c r="V36" s="396">
        <f t="shared" si="2"/>
        <v>414295</v>
      </c>
    </row>
    <row r="37" spans="2:22" ht="18.75" customHeight="1">
      <c r="B37" s="47"/>
      <c r="C37" s="51"/>
      <c r="D37" s="235" t="s">
        <v>72</v>
      </c>
      <c r="E37" s="103">
        <f>M38</f>
        <v>196300</v>
      </c>
      <c r="F37" s="104">
        <v>190039</v>
      </c>
      <c r="G37" s="104">
        <f>E37-F37</f>
        <v>6261</v>
      </c>
      <c r="H37" s="69">
        <f>G37/F37</f>
        <v>0.03294586900583565</v>
      </c>
      <c r="I37" s="163"/>
      <c r="J37" s="295"/>
      <c r="K37" s="287"/>
      <c r="L37" s="61"/>
      <c r="M37" s="446"/>
      <c r="N37" s="468"/>
      <c r="O37" s="469"/>
      <c r="P37" s="469"/>
      <c r="Q37" s="469"/>
      <c r="R37" s="469"/>
      <c r="S37" s="469"/>
      <c r="T37" s="470"/>
      <c r="U37" s="2"/>
      <c r="V37" s="396">
        <f t="shared" si="2"/>
        <v>0</v>
      </c>
    </row>
    <row r="38" spans="2:22" ht="18.75" customHeight="1">
      <c r="B38" s="47"/>
      <c r="C38" s="51"/>
      <c r="D38" s="207" t="s">
        <v>677</v>
      </c>
      <c r="E38" s="103"/>
      <c r="F38" s="104"/>
      <c r="G38" s="104"/>
      <c r="H38" s="69"/>
      <c r="I38" s="159" t="s">
        <v>905</v>
      </c>
      <c r="J38" s="292"/>
      <c r="K38" s="284"/>
      <c r="L38" s="54" t="s">
        <v>143</v>
      </c>
      <c r="M38" s="443">
        <v>196300</v>
      </c>
      <c r="N38" s="414">
        <v>0</v>
      </c>
      <c r="O38" s="406">
        <v>98150</v>
      </c>
      <c r="P38" s="406">
        <v>98150</v>
      </c>
      <c r="Q38" s="475"/>
      <c r="R38" s="415"/>
      <c r="S38" s="415"/>
      <c r="T38" s="416"/>
      <c r="U38" s="2"/>
      <c r="V38" s="396">
        <f t="shared" si="2"/>
        <v>196300</v>
      </c>
    </row>
    <row r="39" spans="2:22" ht="18.75" customHeight="1">
      <c r="B39" s="47"/>
      <c r="C39" s="51"/>
      <c r="D39" s="234" t="s">
        <v>678</v>
      </c>
      <c r="E39" s="101">
        <f>M40</f>
        <v>59382</v>
      </c>
      <c r="F39" s="102">
        <v>57882</v>
      </c>
      <c r="G39" s="102">
        <f>E39-F39</f>
        <v>1500</v>
      </c>
      <c r="H39" s="68">
        <f>G39/F39</f>
        <v>0.02591479216336685</v>
      </c>
      <c r="I39" s="158"/>
      <c r="J39" s="291"/>
      <c r="K39" s="283"/>
      <c r="L39" s="55"/>
      <c r="M39" s="442"/>
      <c r="N39" s="414"/>
      <c r="O39" s="415"/>
      <c r="P39" s="415"/>
      <c r="Q39" s="415"/>
      <c r="R39" s="415"/>
      <c r="S39" s="415"/>
      <c r="T39" s="416"/>
      <c r="U39" s="2"/>
      <c r="V39" s="396">
        <f t="shared" si="2"/>
        <v>0</v>
      </c>
    </row>
    <row r="40" spans="2:22" ht="18.75" customHeight="1">
      <c r="B40" s="47"/>
      <c r="C40" s="51"/>
      <c r="D40" s="208" t="s">
        <v>903</v>
      </c>
      <c r="E40" s="105"/>
      <c r="F40" s="106"/>
      <c r="G40" s="106"/>
      <c r="H40" s="70"/>
      <c r="I40" s="159" t="s">
        <v>906</v>
      </c>
      <c r="J40" s="292"/>
      <c r="K40" s="284"/>
      <c r="L40" s="54" t="s">
        <v>246</v>
      </c>
      <c r="M40" s="443">
        <v>59382</v>
      </c>
      <c r="N40" s="414">
        <v>0</v>
      </c>
      <c r="O40" s="415">
        <v>29691</v>
      </c>
      <c r="P40" s="415">
        <v>29691</v>
      </c>
      <c r="Q40" s="415"/>
      <c r="R40" s="415"/>
      <c r="S40" s="415"/>
      <c r="T40" s="416"/>
      <c r="U40" s="2"/>
      <c r="V40" s="396">
        <f t="shared" si="2"/>
        <v>59382</v>
      </c>
    </row>
    <row r="41" spans="2:22" ht="18.75" customHeight="1">
      <c r="B41" s="47"/>
      <c r="C41" s="51"/>
      <c r="D41" s="235" t="s">
        <v>900</v>
      </c>
      <c r="E41" s="103">
        <f>M42</f>
        <v>22000</v>
      </c>
      <c r="F41" s="104">
        <v>22000</v>
      </c>
      <c r="G41" s="104">
        <f>E41-F41</f>
        <v>0</v>
      </c>
      <c r="H41" s="69">
        <f>G41/F41</f>
        <v>0</v>
      </c>
      <c r="I41" s="158"/>
      <c r="J41" s="291"/>
      <c r="K41" s="283"/>
      <c r="L41" s="55"/>
      <c r="M41" s="442"/>
      <c r="N41" s="414"/>
      <c r="O41" s="415"/>
      <c r="P41" s="415"/>
      <c r="Q41" s="415"/>
      <c r="R41" s="415"/>
      <c r="S41" s="415"/>
      <c r="T41" s="416"/>
      <c r="U41" s="2"/>
      <c r="V41" s="396">
        <f t="shared" si="2"/>
        <v>0</v>
      </c>
    </row>
    <row r="42" spans="2:22" ht="18.75" customHeight="1">
      <c r="B42" s="47"/>
      <c r="C42" s="51"/>
      <c r="D42" s="207" t="s">
        <v>929</v>
      </c>
      <c r="E42" s="103"/>
      <c r="F42" s="104"/>
      <c r="G42" s="104"/>
      <c r="H42" s="69"/>
      <c r="I42" s="159" t="s">
        <v>907</v>
      </c>
      <c r="J42" s="292"/>
      <c r="K42" s="284"/>
      <c r="L42" s="54" t="s">
        <v>239</v>
      </c>
      <c r="M42" s="443">
        <f>22000000/1000</f>
        <v>22000</v>
      </c>
      <c r="N42" s="414">
        <v>0</v>
      </c>
      <c r="O42" s="415">
        <v>11000</v>
      </c>
      <c r="P42" s="415">
        <v>11000</v>
      </c>
      <c r="Q42" s="415"/>
      <c r="R42" s="415"/>
      <c r="S42" s="415"/>
      <c r="T42" s="416"/>
      <c r="U42" s="2"/>
      <c r="V42" s="396">
        <f t="shared" si="2"/>
        <v>22000</v>
      </c>
    </row>
    <row r="43" spans="2:22" ht="18.75" customHeight="1">
      <c r="B43" s="47"/>
      <c r="C43" s="51"/>
      <c r="D43" s="234" t="s">
        <v>901</v>
      </c>
      <c r="E43" s="101">
        <f>M44</f>
        <v>30000</v>
      </c>
      <c r="F43" s="102">
        <v>30000</v>
      </c>
      <c r="G43" s="102">
        <f>E43-F43</f>
        <v>0</v>
      </c>
      <c r="H43" s="68">
        <f>G43/F43</f>
        <v>0</v>
      </c>
      <c r="I43" s="158"/>
      <c r="J43" s="291"/>
      <c r="K43" s="283"/>
      <c r="L43" s="55"/>
      <c r="M43" s="442"/>
      <c r="N43" s="414"/>
      <c r="O43" s="415"/>
      <c r="P43" s="415"/>
      <c r="Q43" s="415"/>
      <c r="R43" s="415"/>
      <c r="S43" s="415"/>
      <c r="T43" s="416"/>
      <c r="U43" s="2"/>
      <c r="V43" s="396">
        <f t="shared" si="2"/>
        <v>0</v>
      </c>
    </row>
    <row r="44" spans="2:22" ht="18.75" customHeight="1">
      <c r="B44" s="47"/>
      <c r="C44" s="51"/>
      <c r="D44" s="208" t="s">
        <v>904</v>
      </c>
      <c r="E44" s="105"/>
      <c r="F44" s="106"/>
      <c r="G44" s="106"/>
      <c r="H44" s="70"/>
      <c r="I44" s="159" t="s">
        <v>908</v>
      </c>
      <c r="J44" s="292"/>
      <c r="K44" s="284"/>
      <c r="L44" s="54" t="s">
        <v>239</v>
      </c>
      <c r="M44" s="443">
        <f>30000000/1000</f>
        <v>30000</v>
      </c>
      <c r="N44" s="414">
        <v>0</v>
      </c>
      <c r="O44" s="415">
        <v>0</v>
      </c>
      <c r="P44" s="415">
        <v>30000</v>
      </c>
      <c r="Q44" s="415"/>
      <c r="R44" s="415"/>
      <c r="S44" s="415"/>
      <c r="T44" s="416"/>
      <c r="U44" s="2"/>
      <c r="V44" s="396">
        <f t="shared" si="2"/>
        <v>30000</v>
      </c>
    </row>
    <row r="45" spans="2:22" ht="18.75" customHeight="1">
      <c r="B45" s="47"/>
      <c r="C45" s="51"/>
      <c r="D45" s="234" t="s">
        <v>902</v>
      </c>
      <c r="E45" s="103">
        <f>M46</f>
        <v>12000</v>
      </c>
      <c r="F45" s="104">
        <v>12000</v>
      </c>
      <c r="G45" s="102">
        <f>E45-F45</f>
        <v>0</v>
      </c>
      <c r="H45" s="68">
        <f>G45/F45</f>
        <v>0</v>
      </c>
      <c r="I45" s="164"/>
      <c r="J45" s="296"/>
      <c r="K45" s="165"/>
      <c r="L45" s="28"/>
      <c r="M45" s="447"/>
      <c r="N45" s="414"/>
      <c r="O45" s="415"/>
      <c r="P45" s="415"/>
      <c r="Q45" s="415"/>
      <c r="R45" s="415"/>
      <c r="S45" s="415"/>
      <c r="T45" s="416"/>
      <c r="U45" s="2"/>
      <c r="V45" s="396">
        <f t="shared" si="2"/>
        <v>0</v>
      </c>
    </row>
    <row r="46" spans="2:22" ht="18.75" customHeight="1">
      <c r="B46" s="47"/>
      <c r="C46" s="51"/>
      <c r="D46" s="207" t="s">
        <v>680</v>
      </c>
      <c r="E46" s="103"/>
      <c r="F46" s="104"/>
      <c r="G46" s="104"/>
      <c r="H46" s="69"/>
      <c r="I46" s="159" t="s">
        <v>681</v>
      </c>
      <c r="J46" s="292"/>
      <c r="K46" s="284"/>
      <c r="L46" s="54"/>
      <c r="M46" s="443">
        <f>SUM(M47:M50)</f>
        <v>12000</v>
      </c>
      <c r="N46" s="414">
        <v>0</v>
      </c>
      <c r="O46" s="415">
        <v>6000</v>
      </c>
      <c r="P46" s="415">
        <v>6000</v>
      </c>
      <c r="Q46" s="415"/>
      <c r="R46" s="415"/>
      <c r="S46" s="415"/>
      <c r="T46" s="416"/>
      <c r="U46" s="2"/>
      <c r="V46" s="396">
        <f t="shared" si="2"/>
        <v>12000</v>
      </c>
    </row>
    <row r="47" spans="2:22" ht="18.75" customHeight="1">
      <c r="B47" s="449"/>
      <c r="C47" s="52"/>
      <c r="D47" s="452"/>
      <c r="E47" s="109"/>
      <c r="F47" s="110"/>
      <c r="G47" s="110"/>
      <c r="H47" s="72"/>
      <c r="I47" s="458" t="s">
        <v>685</v>
      </c>
      <c r="J47" s="459">
        <v>100000</v>
      </c>
      <c r="K47" s="460" t="s">
        <v>682</v>
      </c>
      <c r="L47" s="50" t="s">
        <v>239</v>
      </c>
      <c r="M47" s="461">
        <f>J47*6*12/1000</f>
        <v>7200</v>
      </c>
      <c r="N47" s="431"/>
      <c r="O47" s="432"/>
      <c r="P47" s="432"/>
      <c r="Q47" s="432"/>
      <c r="R47" s="432"/>
      <c r="S47" s="432"/>
      <c r="T47" s="433"/>
      <c r="U47" s="2"/>
      <c r="V47" s="396">
        <f t="shared" si="2"/>
        <v>0</v>
      </c>
    </row>
    <row r="48" spans="2:22" ht="18.75" customHeight="1">
      <c r="B48" s="451"/>
      <c r="C48" s="57"/>
      <c r="D48" s="236"/>
      <c r="E48" s="304"/>
      <c r="F48" s="305"/>
      <c r="G48" s="305"/>
      <c r="H48" s="510"/>
      <c r="I48" s="511" t="s">
        <v>686</v>
      </c>
      <c r="J48" s="512">
        <v>100000</v>
      </c>
      <c r="K48" s="513" t="s">
        <v>683</v>
      </c>
      <c r="L48" s="242" t="s">
        <v>239</v>
      </c>
      <c r="M48" s="514">
        <f>J48*2*12/1000</f>
        <v>2400</v>
      </c>
      <c r="N48" s="468"/>
      <c r="O48" s="469"/>
      <c r="P48" s="469"/>
      <c r="Q48" s="469"/>
      <c r="R48" s="469"/>
      <c r="S48" s="469"/>
      <c r="T48" s="470"/>
      <c r="U48" s="2"/>
      <c r="V48" s="396">
        <f t="shared" si="2"/>
        <v>0</v>
      </c>
    </row>
    <row r="49" spans="2:22" ht="18.75" customHeight="1">
      <c r="B49" s="47"/>
      <c r="C49" s="51"/>
      <c r="D49" s="235"/>
      <c r="E49" s="103"/>
      <c r="F49" s="104"/>
      <c r="G49" s="104"/>
      <c r="H49" s="69"/>
      <c r="I49" s="159" t="s">
        <v>687</v>
      </c>
      <c r="J49" s="292">
        <v>100000</v>
      </c>
      <c r="K49" s="284" t="s">
        <v>684</v>
      </c>
      <c r="L49" s="54" t="s">
        <v>239</v>
      </c>
      <c r="M49" s="443">
        <f>J49*1*12/1000</f>
        <v>1200</v>
      </c>
      <c r="N49" s="404"/>
      <c r="O49" s="406"/>
      <c r="P49" s="406"/>
      <c r="Q49" s="406"/>
      <c r="R49" s="406"/>
      <c r="S49" s="406"/>
      <c r="T49" s="407"/>
      <c r="U49" s="2"/>
      <c r="V49" s="396"/>
    </row>
    <row r="50" spans="2:22" ht="18.75" customHeight="1">
      <c r="B50" s="47"/>
      <c r="C50" s="51"/>
      <c r="D50" s="208"/>
      <c r="E50" s="103"/>
      <c r="F50" s="104"/>
      <c r="G50" s="104"/>
      <c r="H50" s="69"/>
      <c r="I50" s="160" t="s">
        <v>688</v>
      </c>
      <c r="J50" s="293">
        <v>100000</v>
      </c>
      <c r="K50" s="285" t="s">
        <v>684</v>
      </c>
      <c r="L50" s="49" t="s">
        <v>239</v>
      </c>
      <c r="M50" s="444">
        <f>J50*1*12/1000</f>
        <v>1200</v>
      </c>
      <c r="N50" s="414"/>
      <c r="O50" s="415"/>
      <c r="P50" s="415"/>
      <c r="Q50" s="415"/>
      <c r="R50" s="415"/>
      <c r="S50" s="415"/>
      <c r="T50" s="416"/>
      <c r="U50" s="2"/>
      <c r="V50" s="396">
        <f t="shared" si="2"/>
        <v>0</v>
      </c>
    </row>
    <row r="51" spans="2:22" ht="18.75" customHeight="1">
      <c r="B51" s="47"/>
      <c r="C51" s="51"/>
      <c r="D51" s="234" t="s">
        <v>909</v>
      </c>
      <c r="E51" s="101">
        <f>M52</f>
        <v>40000</v>
      </c>
      <c r="F51" s="102">
        <v>40000</v>
      </c>
      <c r="G51" s="102">
        <f>E51-F51</f>
        <v>0</v>
      </c>
      <c r="H51" s="68">
        <f>G51/F51</f>
        <v>0</v>
      </c>
      <c r="I51" s="158"/>
      <c r="J51" s="291"/>
      <c r="K51" s="283"/>
      <c r="L51" s="55"/>
      <c r="M51" s="442"/>
      <c r="N51" s="414"/>
      <c r="O51" s="415"/>
      <c r="P51" s="415"/>
      <c r="Q51" s="415"/>
      <c r="R51" s="415"/>
      <c r="S51" s="415"/>
      <c r="T51" s="416"/>
      <c r="U51" s="2"/>
      <c r="V51" s="396">
        <f t="shared" si="2"/>
        <v>0</v>
      </c>
    </row>
    <row r="52" spans="2:22" ht="18.75" customHeight="1">
      <c r="B52" s="47"/>
      <c r="C52" s="51"/>
      <c r="D52" s="208" t="s">
        <v>679</v>
      </c>
      <c r="E52" s="105"/>
      <c r="F52" s="106"/>
      <c r="G52" s="104"/>
      <c r="H52" s="69"/>
      <c r="I52" s="159" t="s">
        <v>689</v>
      </c>
      <c r="J52" s="292"/>
      <c r="K52" s="284"/>
      <c r="L52" s="54" t="s">
        <v>239</v>
      </c>
      <c r="M52" s="443">
        <v>40000</v>
      </c>
      <c r="N52" s="414">
        <v>0</v>
      </c>
      <c r="O52" s="415">
        <v>20000</v>
      </c>
      <c r="P52" s="415">
        <v>20000</v>
      </c>
      <c r="Q52" s="415"/>
      <c r="R52" s="415"/>
      <c r="S52" s="415"/>
      <c r="T52" s="416"/>
      <c r="U52" s="2"/>
      <c r="V52" s="396">
        <f t="shared" si="2"/>
        <v>40000</v>
      </c>
    </row>
    <row r="53" spans="2:22" ht="18.75" customHeight="1">
      <c r="B53" s="47"/>
      <c r="C53" s="51"/>
      <c r="D53" s="234" t="s">
        <v>910</v>
      </c>
      <c r="E53" s="101">
        <f>M54</f>
        <v>18291</v>
      </c>
      <c r="F53" s="102">
        <v>18291</v>
      </c>
      <c r="G53" s="365">
        <f>E53-F53</f>
        <v>0</v>
      </c>
      <c r="H53" s="366">
        <f>G53/F53</f>
        <v>0</v>
      </c>
      <c r="I53" s="158"/>
      <c r="J53" s="291"/>
      <c r="K53" s="283"/>
      <c r="L53" s="55"/>
      <c r="M53" s="442"/>
      <c r="N53" s="434"/>
      <c r="O53" s="436"/>
      <c r="P53" s="436"/>
      <c r="Q53" s="436"/>
      <c r="R53" s="436"/>
      <c r="S53" s="436"/>
      <c r="T53" s="435"/>
      <c r="U53" s="2"/>
      <c r="V53" s="396">
        <f t="shared" si="2"/>
        <v>0</v>
      </c>
    </row>
    <row r="54" spans="2:22" ht="18.75" customHeight="1">
      <c r="B54" s="47"/>
      <c r="C54" s="51"/>
      <c r="D54" s="208" t="s">
        <v>912</v>
      </c>
      <c r="E54" s="105"/>
      <c r="F54" s="106"/>
      <c r="G54" s="106"/>
      <c r="H54" s="70"/>
      <c r="I54" s="159" t="s">
        <v>913</v>
      </c>
      <c r="J54" s="292"/>
      <c r="K54" s="284"/>
      <c r="L54" s="54" t="s">
        <v>239</v>
      </c>
      <c r="M54" s="443">
        <v>18291</v>
      </c>
      <c r="N54" s="414">
        <v>0</v>
      </c>
      <c r="O54" s="415">
        <v>9145</v>
      </c>
      <c r="P54" s="415">
        <v>9146</v>
      </c>
      <c r="Q54" s="415"/>
      <c r="R54" s="415"/>
      <c r="S54" s="415"/>
      <c r="T54" s="416"/>
      <c r="U54" s="2"/>
      <c r="V54" s="396">
        <f t="shared" si="2"/>
        <v>18291</v>
      </c>
    </row>
    <row r="55" spans="2:22" ht="18.75" customHeight="1">
      <c r="B55" s="47"/>
      <c r="C55" s="51"/>
      <c r="D55" s="234" t="s">
        <v>911</v>
      </c>
      <c r="E55" s="101">
        <f>M56</f>
        <v>19200</v>
      </c>
      <c r="F55" s="102">
        <v>19200</v>
      </c>
      <c r="G55" s="102">
        <f>E55-F55</f>
        <v>0</v>
      </c>
      <c r="H55" s="68">
        <f>G55/F55</f>
        <v>0</v>
      </c>
      <c r="I55" s="158"/>
      <c r="J55" s="291"/>
      <c r="K55" s="283"/>
      <c r="L55" s="55"/>
      <c r="M55" s="442"/>
      <c r="N55" s="414"/>
      <c r="O55" s="415"/>
      <c r="P55" s="415"/>
      <c r="Q55" s="415"/>
      <c r="R55" s="415"/>
      <c r="S55" s="415"/>
      <c r="T55" s="416"/>
      <c r="U55" s="2"/>
      <c r="V55" s="396">
        <f t="shared" si="2"/>
        <v>0</v>
      </c>
    </row>
    <row r="56" spans="2:22" ht="18.75" customHeight="1">
      <c r="B56" s="47"/>
      <c r="C56" s="51"/>
      <c r="D56" s="208" t="s">
        <v>914</v>
      </c>
      <c r="E56" s="105"/>
      <c r="F56" s="106"/>
      <c r="G56" s="106"/>
      <c r="H56" s="70"/>
      <c r="I56" s="159" t="s">
        <v>915</v>
      </c>
      <c r="J56" s="292"/>
      <c r="K56" s="284"/>
      <c r="L56" s="54" t="s">
        <v>239</v>
      </c>
      <c r="M56" s="443">
        <v>19200</v>
      </c>
      <c r="N56" s="414">
        <v>0</v>
      </c>
      <c r="O56" s="415">
        <v>9600</v>
      </c>
      <c r="P56" s="415">
        <v>9600</v>
      </c>
      <c r="Q56" s="415"/>
      <c r="R56" s="415"/>
      <c r="S56" s="415"/>
      <c r="T56" s="416"/>
      <c r="U56" s="2"/>
      <c r="V56" s="396">
        <f t="shared" si="2"/>
        <v>19200</v>
      </c>
    </row>
    <row r="57" spans="2:22" ht="18.75" customHeight="1">
      <c r="B57" s="47"/>
      <c r="C57" s="51"/>
      <c r="D57" s="234" t="s">
        <v>916</v>
      </c>
      <c r="E57" s="101">
        <f>M58</f>
        <v>13122</v>
      </c>
      <c r="F57" s="102">
        <v>13122</v>
      </c>
      <c r="G57" s="102">
        <f>E57-F57</f>
        <v>0</v>
      </c>
      <c r="H57" s="68">
        <f>G57/F57</f>
        <v>0</v>
      </c>
      <c r="I57" s="158"/>
      <c r="J57" s="291"/>
      <c r="K57" s="283"/>
      <c r="L57" s="55"/>
      <c r="M57" s="442"/>
      <c r="N57" s="414"/>
      <c r="O57" s="415"/>
      <c r="P57" s="415"/>
      <c r="Q57" s="415"/>
      <c r="R57" s="415"/>
      <c r="S57" s="415"/>
      <c r="T57" s="416"/>
      <c r="U57" s="2"/>
      <c r="V57" s="396">
        <f t="shared" si="2"/>
        <v>0</v>
      </c>
    </row>
    <row r="58" spans="2:22" ht="18.75" customHeight="1">
      <c r="B58" s="47"/>
      <c r="C58" s="51"/>
      <c r="D58" s="208" t="s">
        <v>917</v>
      </c>
      <c r="E58" s="105"/>
      <c r="F58" s="106"/>
      <c r="G58" s="106"/>
      <c r="H58" s="70"/>
      <c r="I58" s="159" t="s">
        <v>918</v>
      </c>
      <c r="J58" s="292"/>
      <c r="K58" s="284"/>
      <c r="L58" s="54" t="s">
        <v>239</v>
      </c>
      <c r="M58" s="443">
        <v>13122</v>
      </c>
      <c r="N58" s="414">
        <v>0</v>
      </c>
      <c r="O58" s="415">
        <v>6561</v>
      </c>
      <c r="P58" s="415">
        <v>6561</v>
      </c>
      <c r="Q58" s="415"/>
      <c r="R58" s="415"/>
      <c r="S58" s="415"/>
      <c r="T58" s="416"/>
      <c r="U58" s="2"/>
      <c r="V58" s="396">
        <f t="shared" si="2"/>
        <v>13122</v>
      </c>
    </row>
    <row r="59" spans="2:22" ht="18.75" customHeight="1">
      <c r="B59" s="47"/>
      <c r="C59" s="51"/>
      <c r="D59" s="234" t="s">
        <v>930</v>
      </c>
      <c r="E59" s="101">
        <f>M60</f>
        <v>4000</v>
      </c>
      <c r="F59" s="102">
        <v>4000</v>
      </c>
      <c r="G59" s="102">
        <f>E59-F59</f>
        <v>0</v>
      </c>
      <c r="H59" s="68">
        <f>G59/F59</f>
        <v>0</v>
      </c>
      <c r="I59" s="158"/>
      <c r="J59" s="291"/>
      <c r="K59" s="283"/>
      <c r="L59" s="55"/>
      <c r="M59" s="442"/>
      <c r="N59" s="414"/>
      <c r="O59" s="415"/>
      <c r="P59" s="415"/>
      <c r="Q59" s="415"/>
      <c r="R59" s="415"/>
      <c r="S59" s="415"/>
      <c r="T59" s="416"/>
      <c r="U59" s="2"/>
      <c r="V59" s="396">
        <f t="shared" si="2"/>
        <v>0</v>
      </c>
    </row>
    <row r="60" spans="2:22" ht="18.75" customHeight="1">
      <c r="B60" s="47"/>
      <c r="C60" s="51"/>
      <c r="D60" s="208" t="s">
        <v>919</v>
      </c>
      <c r="E60" s="105"/>
      <c r="F60" s="106"/>
      <c r="G60" s="106"/>
      <c r="H60" s="70"/>
      <c r="I60" s="159" t="s">
        <v>920</v>
      </c>
      <c r="J60" s="292"/>
      <c r="K60" s="284"/>
      <c r="L60" s="54" t="s">
        <v>239</v>
      </c>
      <c r="M60" s="443">
        <v>4000</v>
      </c>
      <c r="N60" s="414">
        <v>0</v>
      </c>
      <c r="O60" s="415">
        <v>4000</v>
      </c>
      <c r="P60" s="415"/>
      <c r="Q60" s="415"/>
      <c r="R60" s="415"/>
      <c r="S60" s="415"/>
      <c r="T60" s="416"/>
      <c r="U60" s="2"/>
      <c r="V60" s="396">
        <f t="shared" si="2"/>
        <v>4000</v>
      </c>
    </row>
    <row r="61" spans="2:22" ht="18.75" customHeight="1">
      <c r="B61" s="47"/>
      <c r="C61" s="51"/>
      <c r="D61" s="234"/>
      <c r="E61" s="101">
        <v>0</v>
      </c>
      <c r="F61" s="102">
        <v>710</v>
      </c>
      <c r="G61" s="313">
        <f>E61-F61</f>
        <v>-710</v>
      </c>
      <c r="H61" s="367">
        <f>G61/F61</f>
        <v>-1</v>
      </c>
      <c r="I61" s="158"/>
      <c r="J61" s="291"/>
      <c r="K61" s="283"/>
      <c r="L61" s="55"/>
      <c r="M61" s="442"/>
      <c r="N61" s="414"/>
      <c r="O61" s="415"/>
      <c r="P61" s="415"/>
      <c r="Q61" s="415"/>
      <c r="R61" s="415"/>
      <c r="S61" s="415"/>
      <c r="T61" s="416"/>
      <c r="U61" s="2"/>
      <c r="V61" s="396">
        <f t="shared" si="2"/>
        <v>0</v>
      </c>
    </row>
    <row r="62" spans="2:22" ht="18.75" customHeight="1">
      <c r="B62" s="47"/>
      <c r="C62" s="51"/>
      <c r="D62" s="208" t="s">
        <v>923</v>
      </c>
      <c r="E62" s="105"/>
      <c r="F62" s="106"/>
      <c r="G62" s="106"/>
      <c r="H62" s="70"/>
      <c r="I62" s="159"/>
      <c r="J62" s="292"/>
      <c r="K62" s="284"/>
      <c r="L62" s="54"/>
      <c r="M62" s="443"/>
      <c r="N62" s="414"/>
      <c r="O62" s="415"/>
      <c r="P62" s="415"/>
      <c r="Q62" s="415"/>
      <c r="R62" s="415"/>
      <c r="S62" s="415"/>
      <c r="T62" s="416"/>
      <c r="U62" s="2"/>
      <c r="V62" s="396">
        <f t="shared" si="2"/>
        <v>0</v>
      </c>
    </row>
    <row r="63" spans="2:22" ht="18.75" customHeight="1">
      <c r="B63" s="47"/>
      <c r="C63" s="688" t="s">
        <v>245</v>
      </c>
      <c r="D63" s="689"/>
      <c r="E63" s="99">
        <f>E64</f>
        <v>0</v>
      </c>
      <c r="F63" s="100">
        <f>F64</f>
        <v>10450</v>
      </c>
      <c r="G63" s="315">
        <f>E63-F63</f>
        <v>-10450</v>
      </c>
      <c r="H63" s="368">
        <f>G63/F63</f>
        <v>-1</v>
      </c>
      <c r="I63" s="157"/>
      <c r="J63" s="290"/>
      <c r="K63" s="282"/>
      <c r="L63" s="62"/>
      <c r="M63" s="441"/>
      <c r="N63" s="398">
        <f aca="true" t="shared" si="4" ref="N63:T63">N65</f>
        <v>0</v>
      </c>
      <c r="O63" s="399">
        <f t="shared" si="4"/>
        <v>0</v>
      </c>
      <c r="P63" s="399">
        <f t="shared" si="4"/>
        <v>0</v>
      </c>
      <c r="Q63" s="399">
        <f t="shared" si="4"/>
        <v>0</v>
      </c>
      <c r="R63" s="399">
        <f t="shared" si="4"/>
        <v>0</v>
      </c>
      <c r="S63" s="399">
        <f t="shared" si="4"/>
        <v>0</v>
      </c>
      <c r="T63" s="400">
        <f t="shared" si="4"/>
        <v>0</v>
      </c>
      <c r="U63" s="2"/>
      <c r="V63" s="396">
        <f t="shared" si="2"/>
        <v>0</v>
      </c>
    </row>
    <row r="64" spans="2:22" ht="18.75" customHeight="1">
      <c r="B64" s="47"/>
      <c r="C64" s="57"/>
      <c r="D64" s="236" t="s">
        <v>56</v>
      </c>
      <c r="E64" s="103">
        <v>0</v>
      </c>
      <c r="F64" s="104">
        <v>10450</v>
      </c>
      <c r="G64" s="313">
        <f>E64-F64</f>
        <v>-10450</v>
      </c>
      <c r="H64" s="367">
        <f>G64/F64</f>
        <v>-1</v>
      </c>
      <c r="I64" s="163"/>
      <c r="J64" s="295"/>
      <c r="K64" s="287"/>
      <c r="L64" s="61"/>
      <c r="M64" s="446"/>
      <c r="N64" s="468"/>
      <c r="O64" s="469"/>
      <c r="P64" s="469"/>
      <c r="Q64" s="469"/>
      <c r="R64" s="469"/>
      <c r="S64" s="469"/>
      <c r="T64" s="470"/>
      <c r="U64" s="2"/>
      <c r="V64" s="396">
        <f t="shared" si="2"/>
        <v>0</v>
      </c>
    </row>
    <row r="65" spans="2:22" ht="18.75" customHeight="1">
      <c r="B65" s="47"/>
      <c r="C65" s="51"/>
      <c r="D65" s="207" t="s">
        <v>57</v>
      </c>
      <c r="E65" s="103"/>
      <c r="F65" s="104"/>
      <c r="G65" s="104"/>
      <c r="H65" s="69"/>
      <c r="I65" s="164"/>
      <c r="J65" s="296"/>
      <c r="K65" s="165"/>
      <c r="L65" s="28"/>
      <c r="M65" s="447"/>
      <c r="N65" s="431"/>
      <c r="O65" s="432"/>
      <c r="P65" s="432"/>
      <c r="Q65" s="432"/>
      <c r="R65" s="432"/>
      <c r="S65" s="432"/>
      <c r="T65" s="433"/>
      <c r="U65" s="2"/>
      <c r="V65" s="396">
        <f t="shared" si="2"/>
        <v>0</v>
      </c>
    </row>
    <row r="66" spans="2:22" ht="18.75" customHeight="1">
      <c r="B66" s="47"/>
      <c r="C66" s="688" t="s">
        <v>247</v>
      </c>
      <c r="D66" s="689"/>
      <c r="E66" s="99">
        <f>E67</f>
        <v>0</v>
      </c>
      <c r="F66" s="99">
        <f>F67</f>
        <v>0</v>
      </c>
      <c r="G66" s="100">
        <v>0</v>
      </c>
      <c r="H66" s="67">
        <v>0</v>
      </c>
      <c r="I66" s="157"/>
      <c r="J66" s="290"/>
      <c r="K66" s="282"/>
      <c r="L66" s="62"/>
      <c r="M66" s="99">
        <f aca="true" t="shared" si="5" ref="M66:T66">M67</f>
        <v>0</v>
      </c>
      <c r="N66" s="99">
        <f t="shared" si="5"/>
        <v>0</v>
      </c>
      <c r="O66" s="99">
        <f t="shared" si="5"/>
        <v>0</v>
      </c>
      <c r="P66" s="99">
        <f t="shared" si="5"/>
        <v>0</v>
      </c>
      <c r="Q66" s="99">
        <f t="shared" si="5"/>
        <v>0</v>
      </c>
      <c r="R66" s="99">
        <f t="shared" si="5"/>
        <v>0</v>
      </c>
      <c r="S66" s="99">
        <f t="shared" si="5"/>
        <v>0</v>
      </c>
      <c r="T66" s="481">
        <f t="shared" si="5"/>
        <v>0</v>
      </c>
      <c r="U66" s="2"/>
      <c r="V66" s="396">
        <f t="shared" si="2"/>
        <v>0</v>
      </c>
    </row>
    <row r="67" spans="2:22" ht="18.75" customHeight="1">
      <c r="B67" s="47"/>
      <c r="C67" s="51"/>
      <c r="D67" s="235" t="s">
        <v>690</v>
      </c>
      <c r="E67" s="103">
        <f>M67</f>
        <v>0</v>
      </c>
      <c r="F67" s="104">
        <v>0</v>
      </c>
      <c r="G67" s="313">
        <f>E67-F67</f>
        <v>0</v>
      </c>
      <c r="H67" s="367">
        <v>0</v>
      </c>
      <c r="I67" s="159"/>
      <c r="J67" s="292"/>
      <c r="K67" s="284"/>
      <c r="L67" s="54"/>
      <c r="M67" s="443"/>
      <c r="N67" s="414"/>
      <c r="O67" s="415"/>
      <c r="P67" s="415"/>
      <c r="Q67" s="415"/>
      <c r="R67" s="415"/>
      <c r="S67" s="415"/>
      <c r="T67" s="416"/>
      <c r="U67" s="2"/>
      <c r="V67" s="396">
        <f>SUM(N67:T67)</f>
        <v>0</v>
      </c>
    </row>
    <row r="68" spans="2:22" ht="18.75" customHeight="1">
      <c r="B68" s="47"/>
      <c r="C68" s="51"/>
      <c r="D68" s="207" t="s">
        <v>249</v>
      </c>
      <c r="E68" s="103"/>
      <c r="F68" s="104"/>
      <c r="G68" s="104"/>
      <c r="H68" s="69"/>
      <c r="I68" s="355"/>
      <c r="J68" s="352"/>
      <c r="K68" s="356"/>
      <c r="L68" s="308"/>
      <c r="M68" s="448"/>
      <c r="N68" s="414"/>
      <c r="O68" s="415"/>
      <c r="P68" s="415"/>
      <c r="Q68" s="415"/>
      <c r="R68" s="415"/>
      <c r="S68" s="415"/>
      <c r="T68" s="416"/>
      <c r="U68" s="2"/>
      <c r="V68" s="396">
        <f aca="true" t="shared" si="6" ref="V68:V128">SUM(N68:T68)</f>
        <v>0</v>
      </c>
    </row>
    <row r="69" spans="2:22" ht="18.75" customHeight="1">
      <c r="B69" s="47"/>
      <c r="C69" s="688" t="s">
        <v>250</v>
      </c>
      <c r="D69" s="689"/>
      <c r="E69" s="99">
        <f>E70</f>
        <v>148440</v>
      </c>
      <c r="F69" s="99">
        <f>F70</f>
        <v>189615</v>
      </c>
      <c r="G69" s="315">
        <f>E69-F69</f>
        <v>-41175</v>
      </c>
      <c r="H69" s="368">
        <f>G69/F69</f>
        <v>-0.2171505418875089</v>
      </c>
      <c r="I69" s="157"/>
      <c r="J69" s="290"/>
      <c r="K69" s="282"/>
      <c r="L69" s="62"/>
      <c r="M69" s="441">
        <f>M70</f>
        <v>148440</v>
      </c>
      <c r="N69" s="398">
        <f>N71+N78+N82+N88+N95+N99</f>
        <v>0</v>
      </c>
      <c r="O69" s="399">
        <f>O71+O78+O82+O88+O95+O99</f>
        <v>0</v>
      </c>
      <c r="P69" s="399">
        <f>P71+P78+P82+P88+P95+P99</f>
        <v>0</v>
      </c>
      <c r="Q69" s="399">
        <f>SUM(Q71:Q77)</f>
        <v>148440</v>
      </c>
      <c r="R69" s="399">
        <v>0</v>
      </c>
      <c r="S69" s="399">
        <f>S71+S78+S82+S88+S95+S99</f>
        <v>0</v>
      </c>
      <c r="T69" s="400">
        <v>0</v>
      </c>
      <c r="U69" s="2"/>
      <c r="V69" s="396">
        <f t="shared" si="6"/>
        <v>148440</v>
      </c>
    </row>
    <row r="70" spans="2:22" ht="18.75" customHeight="1">
      <c r="B70" s="449"/>
      <c r="C70" s="516"/>
      <c r="D70" s="608" t="s">
        <v>251</v>
      </c>
      <c r="E70" s="109">
        <f>M70</f>
        <v>148440</v>
      </c>
      <c r="F70" s="110">
        <v>189615</v>
      </c>
      <c r="G70" s="609">
        <f>E70-F70</f>
        <v>-41175</v>
      </c>
      <c r="H70" s="610">
        <f>G70/F70</f>
        <v>-0.2171505418875089</v>
      </c>
      <c r="I70" s="453"/>
      <c r="J70" s="454"/>
      <c r="K70" s="455"/>
      <c r="L70" s="456"/>
      <c r="M70" s="457">
        <f>SUM(M71:M77)</f>
        <v>148440</v>
      </c>
      <c r="N70" s="611"/>
      <c r="O70" s="476"/>
      <c r="P70" s="476"/>
      <c r="Q70" s="476"/>
      <c r="R70" s="476"/>
      <c r="S70" s="476"/>
      <c r="T70" s="612"/>
      <c r="U70" s="2"/>
      <c r="V70" s="396">
        <f t="shared" si="6"/>
        <v>0</v>
      </c>
    </row>
    <row r="71" spans="2:22" ht="18.75" customHeight="1">
      <c r="B71" s="451"/>
      <c r="C71" s="57"/>
      <c r="D71" s="509" t="s">
        <v>58</v>
      </c>
      <c r="E71" s="304"/>
      <c r="F71" s="305"/>
      <c r="G71" s="305"/>
      <c r="H71" s="510"/>
      <c r="I71" s="511" t="s">
        <v>691</v>
      </c>
      <c r="J71" s="512"/>
      <c r="K71" s="513"/>
      <c r="L71" s="242" t="s">
        <v>143</v>
      </c>
      <c r="M71" s="514">
        <v>64000</v>
      </c>
      <c r="N71" s="613"/>
      <c r="O71" s="614"/>
      <c r="P71" s="614"/>
      <c r="Q71" s="614">
        <v>64000</v>
      </c>
      <c r="R71" s="614"/>
      <c r="S71" s="614"/>
      <c r="T71" s="615"/>
      <c r="U71" s="2"/>
      <c r="V71" s="396">
        <f t="shared" si="6"/>
        <v>64000</v>
      </c>
    </row>
    <row r="72" spans="2:22" ht="18.75" customHeight="1">
      <c r="B72" s="47"/>
      <c r="C72" s="51"/>
      <c r="D72" s="207"/>
      <c r="E72" s="103"/>
      <c r="F72" s="104"/>
      <c r="G72" s="104"/>
      <c r="H72" s="69"/>
      <c r="I72" s="164" t="s">
        <v>921</v>
      </c>
      <c r="J72" s="296">
        <v>3000000</v>
      </c>
      <c r="K72" s="165" t="s">
        <v>391</v>
      </c>
      <c r="L72" s="28" t="s">
        <v>246</v>
      </c>
      <c r="M72" s="447">
        <f>J72*12/1000</f>
        <v>36000</v>
      </c>
      <c r="N72" s="404"/>
      <c r="O72" s="406"/>
      <c r="P72" s="406"/>
      <c r="Q72" s="406">
        <v>36000</v>
      </c>
      <c r="R72" s="425"/>
      <c r="S72" s="406"/>
      <c r="T72" s="407"/>
      <c r="U72" s="2"/>
      <c r="V72" s="396">
        <f t="shared" si="6"/>
        <v>36000</v>
      </c>
    </row>
    <row r="73" spans="2:22" ht="18.75" customHeight="1">
      <c r="B73" s="47"/>
      <c r="C73" s="51"/>
      <c r="D73" s="207"/>
      <c r="E73" s="103"/>
      <c r="F73" s="104"/>
      <c r="G73" s="104"/>
      <c r="H73" s="69"/>
      <c r="I73" s="158" t="s">
        <v>922</v>
      </c>
      <c r="J73" s="291"/>
      <c r="K73" s="283"/>
      <c r="L73" s="55" t="s">
        <v>246</v>
      </c>
      <c r="M73" s="442">
        <v>6000</v>
      </c>
      <c r="N73" s="404"/>
      <c r="O73" s="406"/>
      <c r="P73" s="406"/>
      <c r="Q73" s="415">
        <v>6000</v>
      </c>
      <c r="R73" s="425"/>
      <c r="S73" s="406"/>
      <c r="T73" s="407"/>
      <c r="U73" s="2"/>
      <c r="V73" s="396">
        <f t="shared" si="6"/>
        <v>6000</v>
      </c>
    </row>
    <row r="74" spans="2:22" ht="18.75" customHeight="1">
      <c r="B74" s="47"/>
      <c r="C74" s="51"/>
      <c r="D74" s="207"/>
      <c r="E74" s="103"/>
      <c r="F74" s="104"/>
      <c r="G74" s="104"/>
      <c r="H74" s="69"/>
      <c r="I74" s="159" t="s">
        <v>924</v>
      </c>
      <c r="J74" s="292"/>
      <c r="K74" s="284"/>
      <c r="L74" s="54" t="s">
        <v>246</v>
      </c>
      <c r="M74" s="443">
        <f>25000000/1000</f>
        <v>25000</v>
      </c>
      <c r="N74" s="404"/>
      <c r="O74" s="406"/>
      <c r="P74" s="406"/>
      <c r="Q74" s="415">
        <v>25000</v>
      </c>
      <c r="R74" s="425"/>
      <c r="S74" s="406"/>
      <c r="T74" s="407"/>
      <c r="U74" s="2"/>
      <c r="V74" s="396">
        <f t="shared" si="6"/>
        <v>25000</v>
      </c>
    </row>
    <row r="75" spans="2:22" ht="18.75" customHeight="1">
      <c r="B75" s="47"/>
      <c r="C75" s="51"/>
      <c r="D75" s="207"/>
      <c r="E75" s="103"/>
      <c r="F75" s="104"/>
      <c r="G75" s="104"/>
      <c r="H75" s="69"/>
      <c r="I75" s="160" t="s">
        <v>925</v>
      </c>
      <c r="J75" s="293"/>
      <c r="K75" s="285"/>
      <c r="L75" s="49" t="s">
        <v>246</v>
      </c>
      <c r="M75" s="444">
        <f>7080000/1000</f>
        <v>7080</v>
      </c>
      <c r="N75" s="404"/>
      <c r="O75" s="406"/>
      <c r="P75" s="406"/>
      <c r="Q75" s="415">
        <v>7080</v>
      </c>
      <c r="R75" s="425"/>
      <c r="S75" s="406"/>
      <c r="T75" s="407"/>
      <c r="U75" s="2"/>
      <c r="V75" s="396">
        <f t="shared" si="6"/>
        <v>7080</v>
      </c>
    </row>
    <row r="76" spans="2:22" ht="18.75" customHeight="1">
      <c r="B76" s="47"/>
      <c r="C76" s="51"/>
      <c r="D76" s="207"/>
      <c r="E76" s="103"/>
      <c r="F76" s="104"/>
      <c r="G76" s="104"/>
      <c r="H76" s="69"/>
      <c r="I76" s="160" t="s">
        <v>926</v>
      </c>
      <c r="J76" s="293"/>
      <c r="K76" s="285"/>
      <c r="L76" s="49" t="s">
        <v>246</v>
      </c>
      <c r="M76" s="444">
        <f>10000000/1000</f>
        <v>10000</v>
      </c>
      <c r="N76" s="404"/>
      <c r="O76" s="406"/>
      <c r="P76" s="406"/>
      <c r="Q76" s="415">
        <v>10000</v>
      </c>
      <c r="R76" s="425"/>
      <c r="S76" s="406"/>
      <c r="T76" s="407"/>
      <c r="U76" s="2"/>
      <c r="V76" s="396">
        <f t="shared" si="6"/>
        <v>10000</v>
      </c>
    </row>
    <row r="77" spans="2:22" ht="18.75" customHeight="1">
      <c r="B77" s="47"/>
      <c r="C77" s="51"/>
      <c r="D77" s="207"/>
      <c r="E77" s="103"/>
      <c r="F77" s="104"/>
      <c r="G77" s="104"/>
      <c r="H77" s="69"/>
      <c r="I77" s="458" t="s">
        <v>927</v>
      </c>
      <c r="J77" s="459"/>
      <c r="K77" s="460"/>
      <c r="L77" s="50" t="s">
        <v>246</v>
      </c>
      <c r="M77" s="461">
        <f>360000/1000</f>
        <v>360</v>
      </c>
      <c r="N77" s="404"/>
      <c r="O77" s="406"/>
      <c r="P77" s="406"/>
      <c r="Q77" s="415">
        <v>360</v>
      </c>
      <c r="R77" s="425"/>
      <c r="S77" s="406"/>
      <c r="T77" s="407"/>
      <c r="U77" s="2"/>
      <c r="V77" s="396">
        <f t="shared" si="6"/>
        <v>360</v>
      </c>
    </row>
    <row r="78" spans="2:22" ht="18.75" customHeight="1">
      <c r="B78" s="682" t="s">
        <v>252</v>
      </c>
      <c r="C78" s="683"/>
      <c r="D78" s="684"/>
      <c r="E78" s="107"/>
      <c r="F78" s="108"/>
      <c r="G78" s="108"/>
      <c r="H78" s="71"/>
      <c r="I78" s="162"/>
      <c r="J78" s="294"/>
      <c r="K78" s="286"/>
      <c r="L78" s="58"/>
      <c r="M78" s="445"/>
      <c r="N78" s="427"/>
      <c r="O78" s="428"/>
      <c r="P78" s="428"/>
      <c r="Q78" s="428"/>
      <c r="R78" s="428"/>
      <c r="S78" s="428"/>
      <c r="T78" s="429"/>
      <c r="U78" s="2"/>
      <c r="V78" s="396">
        <f t="shared" si="6"/>
        <v>0</v>
      </c>
    </row>
    <row r="79" spans="2:22" ht="18.75" customHeight="1">
      <c r="B79" s="47"/>
      <c r="C79" s="688" t="s">
        <v>253</v>
      </c>
      <c r="D79" s="689"/>
      <c r="E79" s="99"/>
      <c r="F79" s="100"/>
      <c r="G79" s="100"/>
      <c r="H79" s="67"/>
      <c r="I79" s="157"/>
      <c r="J79" s="290"/>
      <c r="K79" s="282"/>
      <c r="L79" s="62"/>
      <c r="M79" s="441"/>
      <c r="N79" s="398"/>
      <c r="O79" s="399"/>
      <c r="P79" s="399"/>
      <c r="Q79" s="399"/>
      <c r="R79" s="399"/>
      <c r="S79" s="399"/>
      <c r="T79" s="400"/>
      <c r="U79" s="2"/>
      <c r="V79" s="396"/>
    </row>
    <row r="80" spans="2:22" ht="18.75" customHeight="1">
      <c r="B80" s="47"/>
      <c r="C80" s="51"/>
      <c r="D80" s="235" t="s">
        <v>182</v>
      </c>
      <c r="E80" s="103"/>
      <c r="F80" s="104"/>
      <c r="G80" s="104"/>
      <c r="H80" s="69"/>
      <c r="I80" s="163"/>
      <c r="J80" s="295"/>
      <c r="K80" s="287"/>
      <c r="L80" s="61"/>
      <c r="M80" s="446"/>
      <c r="N80" s="605"/>
      <c r="O80" s="606"/>
      <c r="P80" s="606"/>
      <c r="Q80" s="606"/>
      <c r="R80" s="606"/>
      <c r="S80" s="606"/>
      <c r="T80" s="607"/>
      <c r="U80" s="2"/>
      <c r="V80" s="396">
        <f>SUM(N80:T80)</f>
        <v>0</v>
      </c>
    </row>
    <row r="81" spans="2:22" ht="18.75" customHeight="1">
      <c r="B81" s="47"/>
      <c r="C81" s="51"/>
      <c r="D81" s="207" t="s">
        <v>59</v>
      </c>
      <c r="E81" s="103"/>
      <c r="F81" s="104"/>
      <c r="G81" s="104"/>
      <c r="H81" s="69"/>
      <c r="I81" s="159"/>
      <c r="J81" s="292"/>
      <c r="K81" s="284"/>
      <c r="L81" s="54"/>
      <c r="M81" s="443"/>
      <c r="N81" s="404"/>
      <c r="O81" s="406"/>
      <c r="P81" s="406"/>
      <c r="Q81" s="406"/>
      <c r="R81" s="406"/>
      <c r="S81" s="406"/>
      <c r="T81" s="426"/>
      <c r="U81" s="2"/>
      <c r="V81" s="396">
        <f t="shared" si="6"/>
        <v>0</v>
      </c>
    </row>
    <row r="82" spans="2:22" ht="18.75" customHeight="1">
      <c r="B82" s="682" t="s">
        <v>254</v>
      </c>
      <c r="C82" s="683"/>
      <c r="D82" s="684"/>
      <c r="E82" s="107">
        <f>E83</f>
        <v>25000</v>
      </c>
      <c r="F82" s="107">
        <f>F83</f>
        <v>13000</v>
      </c>
      <c r="G82" s="317">
        <f>E82-F82</f>
        <v>12000</v>
      </c>
      <c r="H82" s="370">
        <f>G82/F82</f>
        <v>0.9230769230769231</v>
      </c>
      <c r="I82" s="162"/>
      <c r="J82" s="294"/>
      <c r="K82" s="286"/>
      <c r="L82" s="58"/>
      <c r="M82" s="445">
        <f>M83</f>
        <v>25000</v>
      </c>
      <c r="N82" s="427">
        <v>0</v>
      </c>
      <c r="O82" s="428">
        <v>0</v>
      </c>
      <c r="P82" s="428">
        <v>0</v>
      </c>
      <c r="Q82" s="428">
        <v>0</v>
      </c>
      <c r="R82" s="428">
        <f>R83</f>
        <v>25000</v>
      </c>
      <c r="S82" s="428">
        <v>0</v>
      </c>
      <c r="T82" s="429"/>
      <c r="U82" s="2"/>
      <c r="V82" s="396">
        <f t="shared" si="6"/>
        <v>25000</v>
      </c>
    </row>
    <row r="83" spans="2:22" ht="18.75" customHeight="1">
      <c r="B83" s="47"/>
      <c r="C83" s="688" t="s">
        <v>255</v>
      </c>
      <c r="D83" s="689"/>
      <c r="E83" s="99">
        <f>E84</f>
        <v>25000</v>
      </c>
      <c r="F83" s="99">
        <f>F84</f>
        <v>13000</v>
      </c>
      <c r="G83" s="363">
        <f>E83-F83</f>
        <v>12000</v>
      </c>
      <c r="H83" s="310">
        <f>G83/F83</f>
        <v>0.9230769230769231</v>
      </c>
      <c r="I83" s="157"/>
      <c r="J83" s="290"/>
      <c r="K83" s="282"/>
      <c r="L83" s="62"/>
      <c r="M83" s="441">
        <f>M85</f>
        <v>25000</v>
      </c>
      <c r="N83" s="398">
        <v>0</v>
      </c>
      <c r="O83" s="399">
        <v>0</v>
      </c>
      <c r="P83" s="399">
        <v>0</v>
      </c>
      <c r="Q83" s="399">
        <v>0</v>
      </c>
      <c r="R83" s="399">
        <f>R85</f>
        <v>25000</v>
      </c>
      <c r="S83" s="399">
        <v>0</v>
      </c>
      <c r="T83" s="400">
        <v>0</v>
      </c>
      <c r="U83" s="2"/>
      <c r="V83" s="396">
        <f t="shared" si="6"/>
        <v>25000</v>
      </c>
    </row>
    <row r="84" spans="2:22" ht="18.75" customHeight="1">
      <c r="B84" s="47"/>
      <c r="C84" s="51"/>
      <c r="D84" s="235" t="s">
        <v>183</v>
      </c>
      <c r="E84" s="103">
        <f>M85</f>
        <v>25000</v>
      </c>
      <c r="F84" s="104">
        <v>13000</v>
      </c>
      <c r="G84" s="365">
        <f>E84-F84</f>
        <v>12000</v>
      </c>
      <c r="H84" s="367">
        <f>G84/F84</f>
        <v>0.9230769230769231</v>
      </c>
      <c r="I84" s="163"/>
      <c r="J84" s="295"/>
      <c r="K84" s="287"/>
      <c r="L84" s="61"/>
      <c r="M84" s="446"/>
      <c r="N84" s="414"/>
      <c r="O84" s="415"/>
      <c r="P84" s="415"/>
      <c r="Q84" s="415"/>
      <c r="R84" s="415"/>
      <c r="S84" s="415"/>
      <c r="T84" s="479"/>
      <c r="U84" s="2"/>
      <c r="V84" s="396">
        <f t="shared" si="6"/>
        <v>0</v>
      </c>
    </row>
    <row r="85" spans="2:22" ht="18.75" customHeight="1">
      <c r="B85" s="47"/>
      <c r="C85" s="51"/>
      <c r="D85" s="208" t="s">
        <v>60</v>
      </c>
      <c r="E85" s="105"/>
      <c r="F85" s="106"/>
      <c r="G85" s="106"/>
      <c r="H85" s="70"/>
      <c r="I85" s="159" t="s">
        <v>867</v>
      </c>
      <c r="J85" s="292"/>
      <c r="K85" s="284"/>
      <c r="L85" s="54" t="s">
        <v>232</v>
      </c>
      <c r="M85" s="443">
        <f>25000000/1000</f>
        <v>25000</v>
      </c>
      <c r="N85" s="414">
        <v>0</v>
      </c>
      <c r="O85" s="415">
        <v>0</v>
      </c>
      <c r="P85" s="415">
        <v>0</v>
      </c>
      <c r="Q85" s="415">
        <v>0</v>
      </c>
      <c r="R85" s="415">
        <v>25000</v>
      </c>
      <c r="S85" s="415">
        <v>0</v>
      </c>
      <c r="T85" s="426">
        <v>0</v>
      </c>
      <c r="U85" s="2"/>
      <c r="V85" s="396">
        <f>SUM(N85:T85)</f>
        <v>25000</v>
      </c>
    </row>
    <row r="86" spans="2:21" ht="18.75" customHeight="1">
      <c r="B86" s="682" t="s">
        <v>256</v>
      </c>
      <c r="C86" s="683"/>
      <c r="D86" s="684"/>
      <c r="E86" s="107">
        <f>E87</f>
        <v>1055.087</v>
      </c>
      <c r="F86" s="107">
        <f>F87</f>
        <v>9101</v>
      </c>
      <c r="G86" s="317">
        <f>E86-F86</f>
        <v>-8045.9130000000005</v>
      </c>
      <c r="H86" s="364">
        <f>G86/F86</f>
        <v>-0.8840691132842545</v>
      </c>
      <c r="I86" s="162"/>
      <c r="J86" s="294"/>
      <c r="K86" s="286"/>
      <c r="L86" s="58"/>
      <c r="M86" s="445">
        <f>M87</f>
        <v>1055.087</v>
      </c>
      <c r="N86" s="427"/>
      <c r="O86" s="428"/>
      <c r="P86" s="428"/>
      <c r="Q86" s="428"/>
      <c r="R86" s="428"/>
      <c r="S86" s="428"/>
      <c r="T86" s="429">
        <v>1055</v>
      </c>
      <c r="U86" s="2"/>
    </row>
    <row r="87" spans="2:22" ht="18.75" customHeight="1">
      <c r="B87" s="47"/>
      <c r="C87" s="688" t="s">
        <v>257</v>
      </c>
      <c r="D87" s="689"/>
      <c r="E87" s="99">
        <f>E88</f>
        <v>1055.087</v>
      </c>
      <c r="F87" s="99">
        <f>F88</f>
        <v>9101</v>
      </c>
      <c r="G87" s="315">
        <f>E87-F87</f>
        <v>-8045.9130000000005</v>
      </c>
      <c r="H87" s="368">
        <f>G87/F87</f>
        <v>-0.8840691132842545</v>
      </c>
      <c r="I87" s="157"/>
      <c r="J87" s="290"/>
      <c r="K87" s="282"/>
      <c r="L87" s="62"/>
      <c r="M87" s="441">
        <f>M89+M90</f>
        <v>1055.087</v>
      </c>
      <c r="N87" s="398"/>
      <c r="O87" s="399"/>
      <c r="P87" s="399"/>
      <c r="Q87" s="399"/>
      <c r="R87" s="399"/>
      <c r="S87" s="399"/>
      <c r="T87" s="400">
        <v>1055</v>
      </c>
      <c r="U87" s="2"/>
      <c r="V87" s="396">
        <f>SUM(N87:T87)</f>
        <v>1055</v>
      </c>
    </row>
    <row r="88" spans="2:22" ht="18.75" customHeight="1">
      <c r="B88" s="47"/>
      <c r="C88" s="51"/>
      <c r="D88" s="235" t="s">
        <v>184</v>
      </c>
      <c r="E88" s="103">
        <f>M89+M90</f>
        <v>1055.087</v>
      </c>
      <c r="F88" s="104">
        <v>9101</v>
      </c>
      <c r="G88" s="365">
        <f>E88-F88</f>
        <v>-8045.9130000000005</v>
      </c>
      <c r="H88" s="367">
        <f>G88/F88</f>
        <v>-0.8840691132842545</v>
      </c>
      <c r="I88" s="163"/>
      <c r="J88" s="295"/>
      <c r="K88" s="287"/>
      <c r="L88" s="61"/>
      <c r="M88" s="446"/>
      <c r="N88" s="468"/>
      <c r="O88" s="469"/>
      <c r="P88" s="469"/>
      <c r="Q88" s="469"/>
      <c r="R88" s="469"/>
      <c r="S88" s="469"/>
      <c r="T88" s="470"/>
      <c r="U88" s="2"/>
      <c r="V88" s="396">
        <f>SUM(N88:T88)</f>
        <v>0</v>
      </c>
    </row>
    <row r="89" spans="2:22" ht="18.75" customHeight="1">
      <c r="B89" s="47"/>
      <c r="C89" s="51"/>
      <c r="D89" s="207" t="s">
        <v>693</v>
      </c>
      <c r="E89" s="103"/>
      <c r="F89" s="104"/>
      <c r="G89" s="104"/>
      <c r="H89" s="69"/>
      <c r="I89" s="164" t="s">
        <v>692</v>
      </c>
      <c r="J89" s="296"/>
      <c r="K89" s="165"/>
      <c r="L89" s="28"/>
      <c r="M89" s="447">
        <f>1040532/1000</f>
        <v>1040.532</v>
      </c>
      <c r="N89" s="414">
        <v>0</v>
      </c>
      <c r="O89" s="415">
        <v>0</v>
      </c>
      <c r="P89" s="415">
        <v>0</v>
      </c>
      <c r="Q89" s="415">
        <v>0</v>
      </c>
      <c r="R89" s="415">
        <v>0</v>
      </c>
      <c r="S89" s="415">
        <v>0</v>
      </c>
      <c r="T89" s="416">
        <v>1041</v>
      </c>
      <c r="U89" s="2"/>
      <c r="V89" s="396">
        <f>SUM(N89:T89)</f>
        <v>1041</v>
      </c>
    </row>
    <row r="90" spans="2:22" ht="18.75" customHeight="1">
      <c r="B90" s="47"/>
      <c r="C90" s="51"/>
      <c r="D90" s="207"/>
      <c r="E90" s="103"/>
      <c r="F90" s="104"/>
      <c r="G90" s="104"/>
      <c r="H90" s="69"/>
      <c r="I90" s="164" t="s">
        <v>694</v>
      </c>
      <c r="J90" s="296"/>
      <c r="K90" s="165"/>
      <c r="L90" s="28"/>
      <c r="M90" s="447">
        <f>14555/1000</f>
        <v>14.555</v>
      </c>
      <c r="N90" s="414">
        <v>0</v>
      </c>
      <c r="O90" s="415">
        <v>0</v>
      </c>
      <c r="P90" s="415">
        <v>0</v>
      </c>
      <c r="Q90" s="415">
        <v>0</v>
      </c>
      <c r="R90" s="415">
        <v>0</v>
      </c>
      <c r="S90" s="415">
        <v>0</v>
      </c>
      <c r="T90" s="416">
        <v>15</v>
      </c>
      <c r="U90" s="2"/>
      <c r="V90" s="396">
        <f t="shared" si="6"/>
        <v>15</v>
      </c>
    </row>
    <row r="91" spans="2:22" ht="18.75" customHeight="1">
      <c r="B91" s="47"/>
      <c r="C91" s="51"/>
      <c r="D91" s="234" t="s">
        <v>258</v>
      </c>
      <c r="E91" s="101"/>
      <c r="F91" s="102"/>
      <c r="G91" s="102"/>
      <c r="H91" s="68"/>
      <c r="I91" s="158"/>
      <c r="J91" s="291"/>
      <c r="K91" s="283"/>
      <c r="L91" s="55"/>
      <c r="M91" s="442"/>
      <c r="N91" s="411"/>
      <c r="O91" s="412"/>
      <c r="P91" s="412"/>
      <c r="Q91" s="412"/>
      <c r="R91" s="412"/>
      <c r="S91" s="412"/>
      <c r="T91" s="413"/>
      <c r="U91" s="2"/>
      <c r="V91" s="396">
        <f t="shared" si="6"/>
        <v>0</v>
      </c>
    </row>
    <row r="92" spans="2:22" ht="18.75" customHeight="1">
      <c r="B92" s="449"/>
      <c r="C92" s="52"/>
      <c r="D92" s="450" t="s">
        <v>62</v>
      </c>
      <c r="E92" s="109"/>
      <c r="F92" s="110"/>
      <c r="G92" s="110"/>
      <c r="H92" s="72"/>
      <c r="I92" s="355"/>
      <c r="J92" s="352"/>
      <c r="K92" s="356"/>
      <c r="L92" s="308"/>
      <c r="M92" s="448"/>
      <c r="N92" s="464"/>
      <c r="O92" s="438"/>
      <c r="P92" s="438"/>
      <c r="Q92" s="438"/>
      <c r="R92" s="438"/>
      <c r="S92" s="438"/>
      <c r="T92" s="465"/>
      <c r="U92" s="2"/>
      <c r="V92" s="396">
        <f t="shared" si="6"/>
        <v>0</v>
      </c>
    </row>
    <row r="93" spans="2:22" ht="18.75" customHeight="1">
      <c r="B93" s="682" t="s">
        <v>259</v>
      </c>
      <c r="C93" s="683"/>
      <c r="D93" s="684"/>
      <c r="E93" s="107">
        <f>E94</f>
        <v>34</v>
      </c>
      <c r="F93" s="107">
        <f>F94</f>
        <v>11618</v>
      </c>
      <c r="G93" s="317">
        <f>E93-F93</f>
        <v>-11584</v>
      </c>
      <c r="H93" s="364">
        <f>G93/F93</f>
        <v>-0.9970735066276467</v>
      </c>
      <c r="I93" s="162"/>
      <c r="J93" s="294"/>
      <c r="K93" s="286"/>
      <c r="L93" s="58"/>
      <c r="M93" s="445">
        <f>M94</f>
        <v>34</v>
      </c>
      <c r="N93" s="427"/>
      <c r="O93" s="428"/>
      <c r="P93" s="428"/>
      <c r="Q93" s="428"/>
      <c r="R93" s="428"/>
      <c r="S93" s="428"/>
      <c r="T93" s="429">
        <f>T94</f>
        <v>34</v>
      </c>
      <c r="U93" s="2"/>
      <c r="V93" s="396">
        <f t="shared" si="6"/>
        <v>34</v>
      </c>
    </row>
    <row r="94" spans="2:22" ht="18.75" customHeight="1">
      <c r="B94" s="616"/>
      <c r="C94" s="688" t="s">
        <v>260</v>
      </c>
      <c r="D94" s="689"/>
      <c r="E94" s="99">
        <f>E97</f>
        <v>34</v>
      </c>
      <c r="F94" s="99">
        <f>F97+F100</f>
        <v>11618</v>
      </c>
      <c r="G94" s="315">
        <f>E94-F94</f>
        <v>-11584</v>
      </c>
      <c r="H94" s="368">
        <f>G94/F94</f>
        <v>-0.9970735066276467</v>
      </c>
      <c r="I94" s="157"/>
      <c r="J94" s="290"/>
      <c r="K94" s="282"/>
      <c r="L94" s="62"/>
      <c r="M94" s="441">
        <f>M99+M98</f>
        <v>34</v>
      </c>
      <c r="N94" s="398"/>
      <c r="O94" s="399"/>
      <c r="P94" s="399"/>
      <c r="Q94" s="399"/>
      <c r="R94" s="399"/>
      <c r="S94" s="399"/>
      <c r="T94" s="400">
        <f>T98+T99</f>
        <v>34</v>
      </c>
      <c r="U94" s="2"/>
      <c r="V94" s="396">
        <f t="shared" si="6"/>
        <v>34</v>
      </c>
    </row>
    <row r="95" spans="2:22" ht="18.75" customHeight="1">
      <c r="B95" s="451"/>
      <c r="C95" s="57"/>
      <c r="D95" s="236" t="s">
        <v>185</v>
      </c>
      <c r="E95" s="304"/>
      <c r="F95" s="305"/>
      <c r="G95" s="305"/>
      <c r="H95" s="510"/>
      <c r="I95" s="163"/>
      <c r="J95" s="295"/>
      <c r="K95" s="287"/>
      <c r="L95" s="61"/>
      <c r="M95" s="446"/>
      <c r="N95" s="468"/>
      <c r="O95" s="469"/>
      <c r="P95" s="469"/>
      <c r="Q95" s="469"/>
      <c r="R95" s="469"/>
      <c r="S95" s="469"/>
      <c r="T95" s="470"/>
      <c r="U95" s="2"/>
      <c r="V95" s="396">
        <f t="shared" si="6"/>
        <v>0</v>
      </c>
    </row>
    <row r="96" spans="2:22" ht="18.75" customHeight="1">
      <c r="B96" s="47"/>
      <c r="C96" s="51"/>
      <c r="D96" s="207" t="s">
        <v>261</v>
      </c>
      <c r="E96" s="103"/>
      <c r="F96" s="104"/>
      <c r="G96" s="104"/>
      <c r="H96" s="69"/>
      <c r="I96" s="159"/>
      <c r="J96" s="292"/>
      <c r="K96" s="284"/>
      <c r="L96" s="54"/>
      <c r="M96" s="443"/>
      <c r="N96" s="414"/>
      <c r="O96" s="415"/>
      <c r="P96" s="415"/>
      <c r="Q96" s="415"/>
      <c r="R96" s="415"/>
      <c r="S96" s="415"/>
      <c r="T96" s="416"/>
      <c r="U96" s="2"/>
      <c r="V96" s="396">
        <f t="shared" si="6"/>
        <v>0</v>
      </c>
    </row>
    <row r="97" spans="2:22" ht="18.75" customHeight="1">
      <c r="B97" s="47"/>
      <c r="C97" s="51"/>
      <c r="D97" s="234" t="s">
        <v>262</v>
      </c>
      <c r="E97" s="101">
        <f>M99+M98</f>
        <v>34</v>
      </c>
      <c r="F97" s="102">
        <v>18</v>
      </c>
      <c r="G97" s="365">
        <f>E97-F97</f>
        <v>16</v>
      </c>
      <c r="H97" s="367">
        <f>G97/F97</f>
        <v>0.8888888888888888</v>
      </c>
      <c r="I97" s="158"/>
      <c r="J97" s="291"/>
      <c r="K97" s="283"/>
      <c r="L97" s="55"/>
      <c r="M97" s="442"/>
      <c r="N97" s="414"/>
      <c r="O97" s="415"/>
      <c r="P97" s="415"/>
      <c r="Q97" s="415"/>
      <c r="R97" s="415"/>
      <c r="S97" s="415"/>
      <c r="T97" s="416"/>
      <c r="U97" s="2"/>
      <c r="V97" s="396">
        <f t="shared" si="6"/>
        <v>0</v>
      </c>
    </row>
    <row r="98" spans="2:22" ht="18.75" customHeight="1">
      <c r="B98" s="47"/>
      <c r="C98" s="51"/>
      <c r="D98" s="235"/>
      <c r="E98" s="103"/>
      <c r="F98" s="104"/>
      <c r="G98" s="104"/>
      <c r="H98" s="69"/>
      <c r="I98" s="164" t="s">
        <v>695</v>
      </c>
      <c r="J98" s="296"/>
      <c r="K98" s="165"/>
      <c r="L98" s="28" t="s">
        <v>143</v>
      </c>
      <c r="M98" s="447">
        <f>17000/1000</f>
        <v>17</v>
      </c>
      <c r="N98" s="414">
        <v>0</v>
      </c>
      <c r="O98" s="415">
        <v>0</v>
      </c>
      <c r="P98" s="415">
        <v>0</v>
      </c>
      <c r="Q98" s="415">
        <v>0</v>
      </c>
      <c r="R98" s="415">
        <v>0</v>
      </c>
      <c r="S98" s="415">
        <v>0</v>
      </c>
      <c r="T98" s="416">
        <v>17</v>
      </c>
      <c r="U98" s="2"/>
      <c r="V98" s="396">
        <f t="shared" si="6"/>
        <v>17</v>
      </c>
    </row>
    <row r="99" spans="2:22" ht="18.75" customHeight="1">
      <c r="B99" s="517"/>
      <c r="C99" s="297"/>
      <c r="D99" s="208" t="s">
        <v>63</v>
      </c>
      <c r="E99" s="105"/>
      <c r="F99" s="106"/>
      <c r="G99" s="106"/>
      <c r="H99" s="70"/>
      <c r="I99" s="159" t="s">
        <v>928</v>
      </c>
      <c r="J99" s="292"/>
      <c r="K99" s="284"/>
      <c r="L99" s="54" t="s">
        <v>143</v>
      </c>
      <c r="M99" s="443">
        <f>17000/1000</f>
        <v>17</v>
      </c>
      <c r="N99" s="414">
        <v>0</v>
      </c>
      <c r="O99" s="415">
        <v>0</v>
      </c>
      <c r="P99" s="415">
        <v>0</v>
      </c>
      <c r="Q99" s="415">
        <v>0</v>
      </c>
      <c r="R99" s="415">
        <v>0</v>
      </c>
      <c r="S99" s="415">
        <v>0</v>
      </c>
      <c r="T99" s="416">
        <v>17</v>
      </c>
      <c r="U99" s="2"/>
      <c r="V99" s="396">
        <f t="shared" si="6"/>
        <v>17</v>
      </c>
    </row>
    <row r="100" spans="2:22" ht="18.75" customHeight="1">
      <c r="B100" s="47"/>
      <c r="C100" s="51"/>
      <c r="D100" s="235" t="s">
        <v>263</v>
      </c>
      <c r="E100" s="103">
        <v>0</v>
      </c>
      <c r="F100" s="104">
        <v>11600</v>
      </c>
      <c r="G100" s="313">
        <f>E100-F100</f>
        <v>-11600</v>
      </c>
      <c r="H100" s="367">
        <f>G100/F100</f>
        <v>-1</v>
      </c>
      <c r="I100" s="164"/>
      <c r="J100" s="296"/>
      <c r="K100" s="165"/>
      <c r="L100" s="28"/>
      <c r="M100" s="447"/>
      <c r="N100" s="411"/>
      <c r="O100" s="412"/>
      <c r="P100" s="412"/>
      <c r="Q100" s="412"/>
      <c r="R100" s="412"/>
      <c r="S100" s="412"/>
      <c r="T100" s="413"/>
      <c r="U100" s="2"/>
      <c r="V100" s="396">
        <f t="shared" si="6"/>
        <v>0</v>
      </c>
    </row>
    <row r="101" spans="2:22" ht="18.75" customHeight="1">
      <c r="B101" s="47"/>
      <c r="C101" s="51"/>
      <c r="D101" s="207" t="s">
        <v>64</v>
      </c>
      <c r="E101" s="103"/>
      <c r="F101" s="104"/>
      <c r="G101" s="104"/>
      <c r="H101" s="69"/>
      <c r="I101" s="164"/>
      <c r="J101" s="296"/>
      <c r="K101" s="165"/>
      <c r="L101" s="28"/>
      <c r="M101" s="447"/>
      <c r="N101" s="414"/>
      <c r="O101" s="415"/>
      <c r="P101" s="415"/>
      <c r="Q101" s="415"/>
      <c r="R101" s="415"/>
      <c r="S101" s="415"/>
      <c r="T101" s="416"/>
      <c r="U101" s="2"/>
      <c r="V101" s="396">
        <f t="shared" si="6"/>
        <v>0</v>
      </c>
    </row>
    <row r="102" spans="1:22" ht="18.75" customHeight="1">
      <c r="A102" s="53"/>
      <c r="B102" s="449"/>
      <c r="C102" s="52"/>
      <c r="D102" s="450"/>
      <c r="E102" s="109"/>
      <c r="F102" s="110"/>
      <c r="G102" s="110"/>
      <c r="H102" s="72"/>
      <c r="I102" s="355"/>
      <c r="J102" s="352"/>
      <c r="K102" s="356"/>
      <c r="L102" s="308"/>
      <c r="M102" s="448"/>
      <c r="N102" s="431"/>
      <c r="O102" s="432"/>
      <c r="P102" s="432"/>
      <c r="Q102" s="432"/>
      <c r="R102" s="432"/>
      <c r="S102" s="432"/>
      <c r="T102" s="433"/>
      <c r="U102" s="2"/>
      <c r="V102" s="396">
        <f t="shared" si="6"/>
        <v>0</v>
      </c>
    </row>
    <row r="103" spans="2:22" s="56" customFormat="1" ht="31.5" customHeight="1" hidden="1">
      <c r="B103" s="36"/>
      <c r="C103" s="36"/>
      <c r="D103" s="209"/>
      <c r="E103" s="111"/>
      <c r="F103" s="112"/>
      <c r="G103" s="112"/>
      <c r="H103" s="73"/>
      <c r="I103" s="165"/>
      <c r="J103" s="296"/>
      <c r="K103" s="165"/>
      <c r="L103" s="28"/>
      <c r="M103" s="21"/>
      <c r="N103" s="404"/>
      <c r="O103" s="406"/>
      <c r="P103" s="406"/>
      <c r="Q103" s="406"/>
      <c r="R103" s="406"/>
      <c r="S103" s="406"/>
      <c r="T103" s="407"/>
      <c r="U103" s="2"/>
      <c r="V103" s="396">
        <f t="shared" si="6"/>
        <v>0</v>
      </c>
    </row>
    <row r="104" spans="2:22" s="56" customFormat="1" ht="13.5" hidden="1">
      <c r="B104" s="36"/>
      <c r="C104" s="36"/>
      <c r="D104" s="209"/>
      <c r="E104" s="111"/>
      <c r="F104" s="112"/>
      <c r="G104" s="112"/>
      <c r="H104" s="73"/>
      <c r="I104" s="165"/>
      <c r="J104" s="296"/>
      <c r="K104" s="165"/>
      <c r="L104" s="28"/>
      <c r="M104" s="21"/>
      <c r="N104" s="414">
        <v>0</v>
      </c>
      <c r="O104" s="415">
        <v>0</v>
      </c>
      <c r="P104" s="415">
        <v>0</v>
      </c>
      <c r="Q104" s="415">
        <v>0</v>
      </c>
      <c r="R104" s="415">
        <v>0</v>
      </c>
      <c r="S104" s="415">
        <v>2160</v>
      </c>
      <c r="T104" s="416">
        <v>0</v>
      </c>
      <c r="U104" s="2"/>
      <c r="V104" s="396">
        <f t="shared" si="6"/>
        <v>2160</v>
      </c>
    </row>
    <row r="105" spans="2:22" s="56" customFormat="1" ht="13.5" hidden="1">
      <c r="B105" s="36"/>
      <c r="C105" s="36"/>
      <c r="D105" s="209"/>
      <c r="E105" s="111"/>
      <c r="F105" s="112"/>
      <c r="G105" s="112"/>
      <c r="H105" s="73"/>
      <c r="I105" s="165"/>
      <c r="J105" s="296"/>
      <c r="K105" s="165"/>
      <c r="L105" s="28"/>
      <c r="M105" s="21"/>
      <c r="N105" s="414"/>
      <c r="O105" s="415"/>
      <c r="P105" s="415"/>
      <c r="Q105" s="415"/>
      <c r="R105" s="415"/>
      <c r="S105" s="415"/>
      <c r="T105" s="416"/>
      <c r="U105" s="2"/>
      <c r="V105" s="396">
        <f t="shared" si="6"/>
        <v>0</v>
      </c>
    </row>
    <row r="106" spans="2:22" s="56" customFormat="1" ht="13.5" hidden="1">
      <c r="B106" s="36"/>
      <c r="C106" s="36"/>
      <c r="D106" s="209"/>
      <c r="E106" s="111"/>
      <c r="F106" s="112"/>
      <c r="G106" s="112"/>
      <c r="H106" s="73"/>
      <c r="I106" s="165"/>
      <c r="J106" s="296"/>
      <c r="K106" s="165"/>
      <c r="L106" s="28"/>
      <c r="M106" s="21"/>
      <c r="N106" s="414"/>
      <c r="O106" s="415"/>
      <c r="P106" s="415"/>
      <c r="Q106" s="415"/>
      <c r="R106" s="415"/>
      <c r="S106" s="415"/>
      <c r="T106" s="416"/>
      <c r="U106" s="2"/>
      <c r="V106" s="396">
        <f t="shared" si="6"/>
        <v>0</v>
      </c>
    </row>
    <row r="107" spans="2:22" s="56" customFormat="1" ht="13.5" hidden="1">
      <c r="B107" s="36"/>
      <c r="C107" s="36"/>
      <c r="D107" s="209"/>
      <c r="E107" s="111"/>
      <c r="F107" s="112"/>
      <c r="G107" s="112"/>
      <c r="H107" s="73"/>
      <c r="I107" s="165"/>
      <c r="J107" s="296"/>
      <c r="K107" s="165"/>
      <c r="L107" s="28"/>
      <c r="M107" s="21"/>
      <c r="N107" s="414">
        <v>0</v>
      </c>
      <c r="O107" s="415">
        <v>0</v>
      </c>
      <c r="P107" s="415">
        <v>0</v>
      </c>
      <c r="Q107" s="415">
        <v>0</v>
      </c>
      <c r="R107" s="415">
        <v>0</v>
      </c>
      <c r="S107" s="415">
        <v>2160</v>
      </c>
      <c r="T107" s="416">
        <v>0</v>
      </c>
      <c r="U107" s="2"/>
      <c r="V107" s="396">
        <f t="shared" si="6"/>
        <v>2160</v>
      </c>
    </row>
    <row r="108" spans="2:22" s="56" customFormat="1" ht="13.5" hidden="1">
      <c r="B108" s="36"/>
      <c r="C108" s="36"/>
      <c r="D108" s="209"/>
      <c r="E108" s="111"/>
      <c r="F108" s="112"/>
      <c r="G108" s="112"/>
      <c r="H108" s="73"/>
      <c r="I108" s="165"/>
      <c r="J108" s="296"/>
      <c r="K108" s="165"/>
      <c r="L108" s="28"/>
      <c r="M108" s="21"/>
      <c r="N108" s="398">
        <f aca="true" t="shared" si="7" ref="N108:T108">N110</f>
        <v>0</v>
      </c>
      <c r="O108" s="399">
        <f t="shared" si="7"/>
        <v>0</v>
      </c>
      <c r="P108" s="399">
        <f t="shared" si="7"/>
        <v>0</v>
      </c>
      <c r="Q108" s="399">
        <f t="shared" si="7"/>
        <v>0</v>
      </c>
      <c r="R108" s="399">
        <f t="shared" si="7"/>
        <v>0</v>
      </c>
      <c r="S108" s="399">
        <f t="shared" si="7"/>
        <v>2550</v>
      </c>
      <c r="T108" s="400">
        <f t="shared" si="7"/>
        <v>0</v>
      </c>
      <c r="U108" s="2"/>
      <c r="V108" s="396">
        <f t="shared" si="6"/>
        <v>2550</v>
      </c>
    </row>
    <row r="109" spans="2:22" s="56" customFormat="1" ht="13.5" hidden="1">
      <c r="B109" s="36"/>
      <c r="C109" s="36"/>
      <c r="D109" s="209"/>
      <c r="E109" s="111"/>
      <c r="F109" s="112"/>
      <c r="G109" s="112"/>
      <c r="H109" s="73"/>
      <c r="I109" s="165"/>
      <c r="J109" s="296"/>
      <c r="K109" s="165"/>
      <c r="L109" s="28"/>
      <c r="M109" s="21"/>
      <c r="N109" s="404"/>
      <c r="O109" s="406"/>
      <c r="P109" s="406"/>
      <c r="Q109" s="406"/>
      <c r="R109" s="406"/>
      <c r="S109" s="406"/>
      <c r="T109" s="407"/>
      <c r="U109" s="2"/>
      <c r="V109" s="396"/>
    </row>
    <row r="110" spans="2:22" s="56" customFormat="1" ht="13.5" hidden="1">
      <c r="B110" s="36"/>
      <c r="C110" s="36"/>
      <c r="D110" s="209"/>
      <c r="E110" s="111"/>
      <c r="F110" s="112"/>
      <c r="G110" s="112"/>
      <c r="H110" s="73"/>
      <c r="I110" s="165"/>
      <c r="J110" s="296"/>
      <c r="K110" s="165"/>
      <c r="L110" s="28"/>
      <c r="M110" s="21"/>
      <c r="N110" s="414">
        <v>0</v>
      </c>
      <c r="O110" s="415">
        <v>0</v>
      </c>
      <c r="P110" s="415">
        <v>0</v>
      </c>
      <c r="Q110" s="415">
        <v>0</v>
      </c>
      <c r="R110" s="415">
        <v>0</v>
      </c>
      <c r="S110" s="430">
        <f>S111+S112+S113</f>
        <v>2550</v>
      </c>
      <c r="T110" s="416">
        <v>0</v>
      </c>
      <c r="U110" s="2"/>
      <c r="V110" s="396">
        <f t="shared" si="6"/>
        <v>2550</v>
      </c>
    </row>
    <row r="111" spans="2:22" s="56" customFormat="1" ht="13.5" hidden="1">
      <c r="B111" s="36"/>
      <c r="C111" s="36"/>
      <c r="D111" s="209"/>
      <c r="E111" s="111"/>
      <c r="F111" s="112"/>
      <c r="G111" s="112"/>
      <c r="H111" s="73"/>
      <c r="I111" s="165"/>
      <c r="J111" s="296"/>
      <c r="K111" s="165"/>
      <c r="L111" s="28"/>
      <c r="M111" s="21"/>
      <c r="N111" s="414">
        <v>0</v>
      </c>
      <c r="O111" s="415">
        <v>0</v>
      </c>
      <c r="P111" s="415">
        <v>0</v>
      </c>
      <c r="Q111" s="415">
        <v>0</v>
      </c>
      <c r="R111" s="415">
        <v>0</v>
      </c>
      <c r="S111" s="415">
        <v>600</v>
      </c>
      <c r="T111" s="416">
        <v>0</v>
      </c>
      <c r="U111" s="2"/>
      <c r="V111" s="396"/>
    </row>
    <row r="112" spans="2:22" s="56" customFormat="1" ht="13.5" hidden="1">
      <c r="B112" s="36"/>
      <c r="C112" s="36"/>
      <c r="D112" s="209"/>
      <c r="E112" s="111"/>
      <c r="F112" s="112"/>
      <c r="G112" s="112"/>
      <c r="H112" s="73"/>
      <c r="I112" s="165"/>
      <c r="J112" s="296"/>
      <c r="K112" s="165"/>
      <c r="L112" s="28"/>
      <c r="M112" s="21"/>
      <c r="N112" s="414">
        <v>0</v>
      </c>
      <c r="O112" s="415">
        <v>0</v>
      </c>
      <c r="P112" s="415">
        <v>0</v>
      </c>
      <c r="Q112" s="415">
        <v>0</v>
      </c>
      <c r="R112" s="415">
        <v>0</v>
      </c>
      <c r="S112" s="415">
        <v>1800</v>
      </c>
      <c r="T112" s="416">
        <v>0</v>
      </c>
      <c r="U112" s="2"/>
      <c r="V112" s="396"/>
    </row>
    <row r="113" spans="2:22" s="56" customFormat="1" ht="13.5" hidden="1">
      <c r="B113" s="36"/>
      <c r="C113" s="36"/>
      <c r="D113" s="209"/>
      <c r="E113" s="111"/>
      <c r="F113" s="112"/>
      <c r="G113" s="112"/>
      <c r="H113" s="73"/>
      <c r="I113" s="165"/>
      <c r="J113" s="296"/>
      <c r="K113" s="165"/>
      <c r="L113" s="28"/>
      <c r="M113" s="21"/>
      <c r="N113" s="414">
        <v>0</v>
      </c>
      <c r="O113" s="415">
        <v>0</v>
      </c>
      <c r="P113" s="415">
        <v>0</v>
      </c>
      <c r="Q113" s="415">
        <v>0</v>
      </c>
      <c r="R113" s="415">
        <v>0</v>
      </c>
      <c r="S113" s="415">
        <v>150</v>
      </c>
      <c r="T113" s="416">
        <v>0</v>
      </c>
      <c r="U113" s="2"/>
      <c r="V113" s="396">
        <f t="shared" si="6"/>
        <v>150</v>
      </c>
    </row>
    <row r="114" spans="2:22" s="56" customFormat="1" ht="13.5" hidden="1">
      <c r="B114" s="36"/>
      <c r="C114" s="36"/>
      <c r="D114" s="209" t="s">
        <v>65</v>
      </c>
      <c r="E114" s="111"/>
      <c r="F114" s="112"/>
      <c r="G114" s="112"/>
      <c r="H114" s="73"/>
      <c r="I114" s="165"/>
      <c r="J114" s="296"/>
      <c r="K114" s="165"/>
      <c r="L114" s="28"/>
      <c r="M114" s="21"/>
      <c r="N114" s="427"/>
      <c r="O114" s="428"/>
      <c r="P114" s="428"/>
      <c r="Q114" s="428"/>
      <c r="R114" s="428"/>
      <c r="S114" s="428"/>
      <c r="T114" s="429"/>
      <c r="U114" s="2"/>
      <c r="V114" s="396">
        <f t="shared" si="6"/>
        <v>0</v>
      </c>
    </row>
    <row r="115" spans="2:22" s="56" customFormat="1" ht="13.5" hidden="1">
      <c r="B115" s="36"/>
      <c r="C115" s="36" t="s">
        <v>233</v>
      </c>
      <c r="D115" s="209" t="s">
        <v>66</v>
      </c>
      <c r="E115" s="111"/>
      <c r="F115" s="112"/>
      <c r="G115" s="112"/>
      <c r="H115" s="73"/>
      <c r="I115" s="165" t="s">
        <v>108</v>
      </c>
      <c r="J115" s="296"/>
      <c r="K115" s="165"/>
      <c r="L115" s="28"/>
      <c r="M115" s="21">
        <v>200000</v>
      </c>
      <c r="N115" s="398"/>
      <c r="O115" s="399"/>
      <c r="P115" s="399"/>
      <c r="Q115" s="399"/>
      <c r="R115" s="399"/>
      <c r="S115" s="399"/>
      <c r="T115" s="400"/>
      <c r="U115" s="2"/>
      <c r="V115" s="396">
        <f t="shared" si="6"/>
        <v>0</v>
      </c>
    </row>
    <row r="116" spans="2:22" s="56" customFormat="1" ht="19.5" customHeight="1" hidden="1">
      <c r="B116" s="36"/>
      <c r="C116" s="36"/>
      <c r="D116" s="209"/>
      <c r="E116" s="111"/>
      <c r="F116" s="112"/>
      <c r="G116" s="112"/>
      <c r="H116" s="74"/>
      <c r="I116" s="166" t="s">
        <v>109</v>
      </c>
      <c r="J116" s="344"/>
      <c r="K116" s="166"/>
      <c r="L116" s="30"/>
      <c r="M116" s="21">
        <v>100000</v>
      </c>
      <c r="N116" s="404"/>
      <c r="O116" s="406"/>
      <c r="P116" s="406"/>
      <c r="Q116" s="406"/>
      <c r="R116" s="406"/>
      <c r="S116" s="406"/>
      <c r="T116" s="407"/>
      <c r="U116" s="2"/>
      <c r="V116" s="396">
        <f t="shared" si="6"/>
        <v>0</v>
      </c>
    </row>
    <row r="117" spans="2:22" s="56" customFormat="1" ht="19.5" customHeight="1" hidden="1">
      <c r="B117" s="36"/>
      <c r="C117" s="36"/>
      <c r="D117" s="209"/>
      <c r="E117" s="111"/>
      <c r="F117" s="112"/>
      <c r="G117" s="112"/>
      <c r="H117" s="74"/>
      <c r="I117" s="166" t="s">
        <v>274</v>
      </c>
      <c r="J117" s="344"/>
      <c r="K117" s="166"/>
      <c r="L117" s="30"/>
      <c r="M117" s="21">
        <v>100000</v>
      </c>
      <c r="N117" s="408"/>
      <c r="O117" s="409"/>
      <c r="P117" s="409"/>
      <c r="Q117" s="409"/>
      <c r="R117" s="409"/>
      <c r="S117" s="409"/>
      <c r="T117" s="410"/>
      <c r="U117" s="2"/>
      <c r="V117" s="396">
        <f t="shared" si="6"/>
        <v>0</v>
      </c>
    </row>
    <row r="118" spans="2:22" s="56" customFormat="1" ht="19.5" customHeight="1" hidden="1">
      <c r="B118" s="36"/>
      <c r="C118" s="36"/>
      <c r="D118" s="209"/>
      <c r="E118" s="111"/>
      <c r="F118" s="112"/>
      <c r="G118" s="112"/>
      <c r="H118" s="74"/>
      <c r="I118" s="165" t="s">
        <v>275</v>
      </c>
      <c r="J118" s="296"/>
      <c r="K118" s="165"/>
      <c r="L118" s="28"/>
      <c r="M118" s="21">
        <v>100000</v>
      </c>
      <c r="N118" s="427"/>
      <c r="O118" s="428"/>
      <c r="P118" s="428"/>
      <c r="Q118" s="428"/>
      <c r="R118" s="428"/>
      <c r="S118" s="428"/>
      <c r="T118" s="429"/>
      <c r="U118" s="2"/>
      <c r="V118" s="396">
        <f t="shared" si="6"/>
        <v>0</v>
      </c>
    </row>
    <row r="119" spans="2:22" ht="19.5" customHeight="1" hidden="1">
      <c r="B119" s="34"/>
      <c r="C119" s="34"/>
      <c r="D119" s="210"/>
      <c r="E119" s="113"/>
      <c r="F119" s="114"/>
      <c r="G119" s="114"/>
      <c r="H119" s="75"/>
      <c r="I119" s="167" t="s">
        <v>276</v>
      </c>
      <c r="J119" s="344"/>
      <c r="K119" s="166"/>
      <c r="L119" s="30"/>
      <c r="M119" s="10">
        <v>200000</v>
      </c>
      <c r="N119" s="398"/>
      <c r="O119" s="399"/>
      <c r="P119" s="399"/>
      <c r="Q119" s="399"/>
      <c r="R119" s="399"/>
      <c r="S119" s="399"/>
      <c r="T119" s="400"/>
      <c r="U119" s="2"/>
      <c r="V119" s="396">
        <f t="shared" si="6"/>
        <v>0</v>
      </c>
    </row>
    <row r="120" spans="2:22" ht="19.5" customHeight="1" hidden="1">
      <c r="B120" s="34"/>
      <c r="C120" s="34"/>
      <c r="D120" s="210"/>
      <c r="E120" s="113"/>
      <c r="F120" s="114"/>
      <c r="G120" s="114"/>
      <c r="H120" s="76"/>
      <c r="I120" s="168" t="s">
        <v>277</v>
      </c>
      <c r="J120" s="296"/>
      <c r="K120" s="165"/>
      <c r="L120" s="28"/>
      <c r="M120" s="10">
        <v>300000</v>
      </c>
      <c r="N120" s="404"/>
      <c r="O120" s="406"/>
      <c r="P120" s="406"/>
      <c r="Q120" s="406"/>
      <c r="R120" s="406"/>
      <c r="S120" s="406"/>
      <c r="T120" s="407"/>
      <c r="U120" s="2"/>
      <c r="V120" s="396">
        <f t="shared" si="6"/>
        <v>0</v>
      </c>
    </row>
    <row r="121" spans="2:22" ht="19.5" customHeight="1" hidden="1">
      <c r="B121" s="34"/>
      <c r="C121" s="34"/>
      <c r="D121" s="210"/>
      <c r="E121" s="113"/>
      <c r="F121" s="114"/>
      <c r="G121" s="114"/>
      <c r="H121" s="75"/>
      <c r="I121" s="168" t="s">
        <v>278</v>
      </c>
      <c r="J121" s="296"/>
      <c r="K121" s="165"/>
      <c r="L121" s="28"/>
      <c r="M121" s="10">
        <v>100000</v>
      </c>
      <c r="N121" s="414"/>
      <c r="O121" s="415"/>
      <c r="P121" s="415"/>
      <c r="Q121" s="415"/>
      <c r="R121" s="415"/>
      <c r="S121" s="415"/>
      <c r="T121" s="416"/>
      <c r="U121" s="2"/>
      <c r="V121" s="396">
        <f t="shared" si="6"/>
        <v>0</v>
      </c>
    </row>
    <row r="122" spans="2:22" ht="19.5" customHeight="1" hidden="1">
      <c r="B122" s="34"/>
      <c r="C122" s="34"/>
      <c r="D122" s="210"/>
      <c r="E122" s="113"/>
      <c r="F122" s="114"/>
      <c r="G122" s="114"/>
      <c r="H122" s="75"/>
      <c r="I122" s="167" t="s">
        <v>279</v>
      </c>
      <c r="J122" s="344"/>
      <c r="K122" s="166"/>
      <c r="L122" s="30"/>
      <c r="M122" s="10">
        <v>60000</v>
      </c>
      <c r="N122" s="427"/>
      <c r="O122" s="428"/>
      <c r="P122" s="428"/>
      <c r="Q122" s="428"/>
      <c r="R122" s="428"/>
      <c r="S122" s="428"/>
      <c r="T122" s="429"/>
      <c r="U122" s="2"/>
      <c r="V122" s="396">
        <f t="shared" si="6"/>
        <v>0</v>
      </c>
    </row>
    <row r="123" spans="2:22" ht="19.5" customHeight="1" hidden="1">
      <c r="B123" s="34"/>
      <c r="C123" s="34"/>
      <c r="D123" s="210"/>
      <c r="E123" s="113"/>
      <c r="F123" s="114"/>
      <c r="G123" s="114"/>
      <c r="H123" s="75"/>
      <c r="I123" s="167" t="s">
        <v>280</v>
      </c>
      <c r="J123" s="344"/>
      <c r="K123" s="166"/>
      <c r="L123" s="30"/>
      <c r="M123" s="10">
        <v>200000</v>
      </c>
      <c r="N123" s="398"/>
      <c r="O123" s="399"/>
      <c r="P123" s="399"/>
      <c r="Q123" s="399"/>
      <c r="R123" s="399"/>
      <c r="S123" s="399"/>
      <c r="T123" s="400"/>
      <c r="U123" s="2"/>
      <c r="V123" s="396">
        <f t="shared" si="6"/>
        <v>0</v>
      </c>
    </row>
    <row r="124" spans="2:22" ht="19.5" customHeight="1" hidden="1">
      <c r="B124" s="34"/>
      <c r="C124" s="34"/>
      <c r="D124" s="210"/>
      <c r="E124" s="113"/>
      <c r="F124" s="114"/>
      <c r="G124" s="114"/>
      <c r="H124" s="75"/>
      <c r="I124" s="167" t="s">
        <v>281</v>
      </c>
      <c r="J124" s="344"/>
      <c r="K124" s="166"/>
      <c r="L124" s="30"/>
      <c r="M124" s="10">
        <v>250000</v>
      </c>
      <c r="N124" s="404"/>
      <c r="O124" s="406"/>
      <c r="P124" s="406"/>
      <c r="Q124" s="406"/>
      <c r="R124" s="406"/>
      <c r="S124" s="406"/>
      <c r="T124" s="407"/>
      <c r="U124" s="2"/>
      <c r="V124" s="396">
        <f t="shared" si="6"/>
        <v>0</v>
      </c>
    </row>
    <row r="125" spans="2:22" ht="19.5" customHeight="1" hidden="1">
      <c r="B125" s="34"/>
      <c r="C125" s="34"/>
      <c r="D125" s="210"/>
      <c r="E125" s="113"/>
      <c r="F125" s="114"/>
      <c r="G125" s="114"/>
      <c r="H125" s="75"/>
      <c r="I125" s="167" t="s">
        <v>282</v>
      </c>
      <c r="J125" s="344"/>
      <c r="K125" s="166"/>
      <c r="L125" s="30"/>
      <c r="M125" s="10">
        <v>200000</v>
      </c>
      <c r="N125" s="414"/>
      <c r="O125" s="415"/>
      <c r="P125" s="415"/>
      <c r="Q125" s="415"/>
      <c r="R125" s="415"/>
      <c r="S125" s="415"/>
      <c r="T125" s="416"/>
      <c r="U125" s="2"/>
      <c r="V125" s="396">
        <f t="shared" si="6"/>
        <v>0</v>
      </c>
    </row>
    <row r="126" spans="2:22" ht="19.5" customHeight="1" hidden="1">
      <c r="B126" s="34"/>
      <c r="C126" s="34"/>
      <c r="D126" s="210"/>
      <c r="E126" s="113"/>
      <c r="F126" s="114"/>
      <c r="G126" s="114"/>
      <c r="H126" s="76"/>
      <c r="I126" s="168" t="s">
        <v>283</v>
      </c>
      <c r="J126" s="296"/>
      <c r="K126" s="165"/>
      <c r="L126" s="28"/>
      <c r="M126" s="13">
        <v>300000</v>
      </c>
      <c r="N126" s="414"/>
      <c r="O126" s="415"/>
      <c r="P126" s="415"/>
      <c r="Q126" s="415"/>
      <c r="R126" s="415"/>
      <c r="S126" s="415"/>
      <c r="T126" s="416"/>
      <c r="U126" s="2"/>
      <c r="V126" s="396">
        <f t="shared" si="6"/>
        <v>0</v>
      </c>
    </row>
    <row r="127" spans="2:22" ht="19.5" customHeight="1" hidden="1">
      <c r="B127" s="34"/>
      <c r="C127" s="34"/>
      <c r="D127" s="210"/>
      <c r="E127" s="113"/>
      <c r="F127" s="114"/>
      <c r="G127" s="114"/>
      <c r="H127" s="76"/>
      <c r="I127" s="168" t="s">
        <v>86</v>
      </c>
      <c r="J127" s="296"/>
      <c r="K127" s="165"/>
      <c r="L127" s="28"/>
      <c r="M127" s="13">
        <v>240000</v>
      </c>
      <c r="N127" s="408"/>
      <c r="O127" s="409"/>
      <c r="P127" s="409"/>
      <c r="Q127" s="409"/>
      <c r="R127" s="409"/>
      <c r="S127" s="409"/>
      <c r="T127" s="410"/>
      <c r="U127" s="2"/>
      <c r="V127" s="396">
        <f t="shared" si="6"/>
        <v>0</v>
      </c>
    </row>
    <row r="128" spans="2:22" ht="19.5" customHeight="1" hidden="1">
      <c r="B128" s="34"/>
      <c r="C128" s="34"/>
      <c r="D128" s="210"/>
      <c r="E128" s="113"/>
      <c r="F128" s="114"/>
      <c r="G128" s="114"/>
      <c r="H128" s="76"/>
      <c r="I128" s="169" t="s">
        <v>284</v>
      </c>
      <c r="J128" s="345"/>
      <c r="K128" s="334"/>
      <c r="L128" s="28"/>
      <c r="M128" s="13"/>
      <c r="N128" s="427"/>
      <c r="O128" s="428"/>
      <c r="P128" s="428"/>
      <c r="Q128" s="428"/>
      <c r="R128" s="428"/>
      <c r="S128" s="428"/>
      <c r="T128" s="429"/>
      <c r="U128" s="2"/>
      <c r="V128" s="396">
        <f t="shared" si="6"/>
        <v>0</v>
      </c>
    </row>
    <row r="129" spans="2:22" ht="19.5" customHeight="1" hidden="1">
      <c r="B129" s="34"/>
      <c r="C129" s="34"/>
      <c r="D129" s="210"/>
      <c r="E129" s="113"/>
      <c r="F129" s="114"/>
      <c r="G129" s="114"/>
      <c r="H129" s="76"/>
      <c r="I129" s="170" t="s">
        <v>274</v>
      </c>
      <c r="J129" s="344"/>
      <c r="K129" s="173"/>
      <c r="L129" s="20"/>
      <c r="M129" s="18">
        <v>50000</v>
      </c>
      <c r="N129" s="398"/>
      <c r="O129" s="399"/>
      <c r="P129" s="399"/>
      <c r="Q129" s="399"/>
      <c r="R129" s="399"/>
      <c r="S129" s="399"/>
      <c r="T129" s="400"/>
      <c r="U129" s="2"/>
      <c r="V129" s="396">
        <f aca="true" t="shared" si="8" ref="V129:V135">SUM(N129:T129)</f>
        <v>0</v>
      </c>
    </row>
    <row r="130" spans="2:22" ht="19.5" customHeight="1" hidden="1">
      <c r="B130" s="34"/>
      <c r="C130" s="34"/>
      <c r="D130" s="210"/>
      <c r="E130" s="113"/>
      <c r="F130" s="114"/>
      <c r="G130" s="114"/>
      <c r="H130" s="76"/>
      <c r="I130" s="170" t="s">
        <v>86</v>
      </c>
      <c r="J130" s="344"/>
      <c r="K130" s="173"/>
      <c r="L130" s="20"/>
      <c r="M130" s="13">
        <v>61000</v>
      </c>
      <c r="N130" s="404"/>
      <c r="O130" s="406"/>
      <c r="P130" s="406"/>
      <c r="Q130" s="406"/>
      <c r="R130" s="406"/>
      <c r="S130" s="406"/>
      <c r="T130" s="407"/>
      <c r="U130" s="2"/>
      <c r="V130" s="396">
        <f t="shared" si="8"/>
        <v>0</v>
      </c>
    </row>
    <row r="131" spans="2:22" ht="19.5" customHeight="1" hidden="1">
      <c r="B131" s="34"/>
      <c r="C131" s="34"/>
      <c r="D131" s="210"/>
      <c r="E131" s="113"/>
      <c r="F131" s="114"/>
      <c r="G131" s="114"/>
      <c r="H131" s="76"/>
      <c r="I131" s="171" t="s">
        <v>285</v>
      </c>
      <c r="J131" s="346"/>
      <c r="K131" s="335"/>
      <c r="L131" s="20"/>
      <c r="M131" s="13"/>
      <c r="N131" s="414"/>
      <c r="O131" s="415"/>
      <c r="P131" s="415"/>
      <c r="Q131" s="415"/>
      <c r="R131" s="415"/>
      <c r="S131" s="415"/>
      <c r="T131" s="416"/>
      <c r="U131" s="2"/>
      <c r="V131" s="396">
        <f t="shared" si="8"/>
        <v>0</v>
      </c>
    </row>
    <row r="132" spans="2:22" ht="19.5" customHeight="1" hidden="1">
      <c r="B132" s="34"/>
      <c r="C132" s="34"/>
      <c r="D132" s="210"/>
      <c r="E132" s="113"/>
      <c r="F132" s="114"/>
      <c r="G132" s="114"/>
      <c r="H132" s="76"/>
      <c r="I132" s="170" t="s">
        <v>286</v>
      </c>
      <c r="J132" s="344"/>
      <c r="K132" s="173"/>
      <c r="L132" s="20"/>
      <c r="M132" s="13">
        <v>120000</v>
      </c>
      <c r="N132" s="427">
        <f aca="true" t="shared" si="9" ref="N132:T132">N133</f>
        <v>0</v>
      </c>
      <c r="O132" s="428">
        <f t="shared" si="9"/>
        <v>0</v>
      </c>
      <c r="P132" s="428">
        <f t="shared" si="9"/>
        <v>0</v>
      </c>
      <c r="Q132" s="428">
        <f t="shared" si="9"/>
        <v>577</v>
      </c>
      <c r="R132" s="428">
        <f t="shared" si="9"/>
        <v>0</v>
      </c>
      <c r="S132" s="428">
        <f t="shared" si="9"/>
        <v>0</v>
      </c>
      <c r="T132" s="429">
        <f t="shared" si="9"/>
        <v>0</v>
      </c>
      <c r="U132" s="2"/>
      <c r="V132" s="396">
        <f t="shared" si="8"/>
        <v>577</v>
      </c>
    </row>
    <row r="133" spans="2:22" ht="19.5" customHeight="1" hidden="1">
      <c r="B133" s="34"/>
      <c r="C133" s="34"/>
      <c r="D133" s="210"/>
      <c r="E133" s="113"/>
      <c r="F133" s="114"/>
      <c r="G133" s="114"/>
      <c r="H133" s="76"/>
      <c r="I133" s="170" t="s">
        <v>287</v>
      </c>
      <c r="J133" s="344"/>
      <c r="K133" s="173"/>
      <c r="L133" s="20"/>
      <c r="M133" s="13">
        <v>120000</v>
      </c>
      <c r="N133" s="398">
        <f aca="true" t="shared" si="10" ref="N133:T133">N135</f>
        <v>0</v>
      </c>
      <c r="O133" s="399">
        <f t="shared" si="10"/>
        <v>0</v>
      </c>
      <c r="P133" s="399">
        <f t="shared" si="10"/>
        <v>0</v>
      </c>
      <c r="Q133" s="399">
        <v>577</v>
      </c>
      <c r="R133" s="399">
        <f t="shared" si="10"/>
        <v>0</v>
      </c>
      <c r="S133" s="399">
        <f t="shared" si="10"/>
        <v>0</v>
      </c>
      <c r="T133" s="400">
        <f t="shared" si="10"/>
        <v>0</v>
      </c>
      <c r="U133" s="2"/>
      <c r="V133" s="396">
        <f t="shared" si="8"/>
        <v>577</v>
      </c>
    </row>
    <row r="134" spans="2:22" ht="19.5" customHeight="1" hidden="1">
      <c r="B134" s="34"/>
      <c r="C134" s="34"/>
      <c r="D134" s="210"/>
      <c r="E134" s="113"/>
      <c r="F134" s="114"/>
      <c r="G134" s="114"/>
      <c r="H134" s="76"/>
      <c r="I134" s="170" t="s">
        <v>288</v>
      </c>
      <c r="J134" s="344"/>
      <c r="K134" s="173"/>
      <c r="L134" s="20"/>
      <c r="M134" s="13">
        <v>40000</v>
      </c>
      <c r="N134" s="411"/>
      <c r="O134" s="412"/>
      <c r="P134" s="412"/>
      <c r="Q134" s="412"/>
      <c r="R134" s="412"/>
      <c r="S134" s="412"/>
      <c r="T134" s="413"/>
      <c r="U134" s="2"/>
      <c r="V134" s="396">
        <f t="shared" si="8"/>
        <v>0</v>
      </c>
    </row>
    <row r="135" spans="2:22" ht="19.5" customHeight="1" hidden="1">
      <c r="B135" s="35"/>
      <c r="C135" s="35"/>
      <c r="D135" s="211"/>
      <c r="E135" s="115"/>
      <c r="F135" s="116"/>
      <c r="G135" s="116"/>
      <c r="H135" s="77"/>
      <c r="I135" s="172" t="s">
        <v>289</v>
      </c>
      <c r="J135" s="347"/>
      <c r="K135" s="336"/>
      <c r="L135" s="25"/>
      <c r="M135" s="14">
        <v>100000</v>
      </c>
      <c r="N135" s="431">
        <v>0</v>
      </c>
      <c r="O135" s="432">
        <v>0</v>
      </c>
      <c r="P135" s="432">
        <v>0</v>
      </c>
      <c r="Q135" s="432">
        <v>577</v>
      </c>
      <c r="R135" s="432">
        <v>0</v>
      </c>
      <c r="S135" s="432">
        <v>0</v>
      </c>
      <c r="T135" s="433">
        <v>0</v>
      </c>
      <c r="U135" s="2"/>
      <c r="V135" s="396">
        <f t="shared" si="8"/>
        <v>577</v>
      </c>
    </row>
    <row r="136" spans="2:13" ht="19.5" customHeight="1" hidden="1">
      <c r="B136" s="36"/>
      <c r="C136" s="36"/>
      <c r="D136" s="209"/>
      <c r="E136" s="111"/>
      <c r="F136" s="112"/>
      <c r="G136" s="112"/>
      <c r="H136" s="73"/>
      <c r="I136" s="173"/>
      <c r="J136" s="344"/>
      <c r="K136" s="173"/>
      <c r="L136" s="20"/>
      <c r="M136" s="16"/>
    </row>
    <row r="137" spans="2:13" ht="19.5" customHeight="1" hidden="1">
      <c r="B137" s="40" t="s">
        <v>235</v>
      </c>
      <c r="C137" s="40"/>
      <c r="E137" s="94"/>
      <c r="H137" s="64"/>
      <c r="L137" s="20"/>
      <c r="M137" s="6" t="s">
        <v>236</v>
      </c>
    </row>
    <row r="138" spans="2:13" ht="19.5" customHeight="1" hidden="1">
      <c r="B138" s="41" t="s">
        <v>229</v>
      </c>
      <c r="C138" s="41" t="s">
        <v>230</v>
      </c>
      <c r="D138" s="212" t="s">
        <v>76</v>
      </c>
      <c r="E138" s="680" t="s">
        <v>363</v>
      </c>
      <c r="F138" s="681"/>
      <c r="G138" s="678" t="s">
        <v>228</v>
      </c>
      <c r="H138" s="679"/>
      <c r="I138" s="174" t="s">
        <v>123</v>
      </c>
      <c r="J138" s="348"/>
      <c r="K138" s="337"/>
      <c r="L138" s="7"/>
      <c r="M138" s="8"/>
    </row>
    <row r="139" spans="2:13" ht="19.5" customHeight="1" hidden="1">
      <c r="B139" s="42"/>
      <c r="C139" s="42"/>
      <c r="D139" s="213"/>
      <c r="E139" s="117" t="s">
        <v>364</v>
      </c>
      <c r="F139" s="118" t="s">
        <v>365</v>
      </c>
      <c r="G139" s="118" t="s">
        <v>366</v>
      </c>
      <c r="H139" s="78" t="s">
        <v>73</v>
      </c>
      <c r="I139" s="175"/>
      <c r="J139" s="349"/>
      <c r="K139" s="338"/>
      <c r="L139" s="25"/>
      <c r="M139" s="33"/>
    </row>
    <row r="140" spans="2:13" ht="19.5" customHeight="1" hidden="1">
      <c r="B140" s="37"/>
      <c r="C140" s="37"/>
      <c r="D140" s="214"/>
      <c r="E140" s="119"/>
      <c r="F140" s="120"/>
      <c r="G140" s="120"/>
      <c r="H140" s="79"/>
      <c r="I140" s="176" t="s">
        <v>290</v>
      </c>
      <c r="J140" s="350"/>
      <c r="K140" s="339"/>
      <c r="L140" s="7"/>
      <c r="M140" s="15"/>
    </row>
    <row r="141" spans="2:13" ht="19.5" customHeight="1" hidden="1">
      <c r="B141" s="34"/>
      <c r="C141" s="34"/>
      <c r="D141" s="210"/>
      <c r="E141" s="113"/>
      <c r="F141" s="114"/>
      <c r="G141" s="114"/>
      <c r="H141" s="76"/>
      <c r="I141" s="171" t="s">
        <v>49</v>
      </c>
      <c r="J141" s="346"/>
      <c r="K141" s="335"/>
      <c r="L141" s="20"/>
      <c r="M141" s="18">
        <v>50000</v>
      </c>
    </row>
    <row r="142" spans="2:13" ht="19.5" customHeight="1" hidden="1">
      <c r="B142" s="34"/>
      <c r="C142" s="34"/>
      <c r="D142" s="210"/>
      <c r="E142" s="113"/>
      <c r="F142" s="114"/>
      <c r="G142" s="114"/>
      <c r="H142" s="76"/>
      <c r="I142" s="170" t="s">
        <v>111</v>
      </c>
      <c r="J142" s="344"/>
      <c r="K142" s="173"/>
      <c r="L142" s="20"/>
      <c r="M142" s="18">
        <v>160000</v>
      </c>
    </row>
    <row r="143" spans="2:13" ht="19.5" customHeight="1" hidden="1">
      <c r="B143" s="34"/>
      <c r="C143" s="34"/>
      <c r="D143" s="210"/>
      <c r="E143" s="113"/>
      <c r="F143" s="114"/>
      <c r="G143" s="114"/>
      <c r="H143" s="76"/>
      <c r="I143" s="170" t="s">
        <v>112</v>
      </c>
      <c r="J143" s="344"/>
      <c r="K143" s="173"/>
      <c r="L143" s="20"/>
      <c r="M143" s="18">
        <v>160000</v>
      </c>
    </row>
    <row r="144" spans="2:13" ht="19.5" customHeight="1" hidden="1">
      <c r="B144" s="34"/>
      <c r="C144" s="34"/>
      <c r="D144" s="210"/>
      <c r="E144" s="113"/>
      <c r="F144" s="114"/>
      <c r="G144" s="114"/>
      <c r="H144" s="76"/>
      <c r="I144" s="170" t="s">
        <v>113</v>
      </c>
      <c r="J144" s="344"/>
      <c r="K144" s="173"/>
      <c r="L144" s="20"/>
      <c r="M144" s="18">
        <v>60000</v>
      </c>
    </row>
    <row r="145" spans="2:13" ht="19.5" customHeight="1" hidden="1">
      <c r="B145" s="34"/>
      <c r="C145" s="34"/>
      <c r="D145" s="210"/>
      <c r="E145" s="113"/>
      <c r="F145" s="114"/>
      <c r="G145" s="114"/>
      <c r="H145" s="76"/>
      <c r="I145" s="170" t="s">
        <v>114</v>
      </c>
      <c r="J145" s="344"/>
      <c r="K145" s="173"/>
      <c r="L145" s="20"/>
      <c r="M145" s="18">
        <v>100000</v>
      </c>
    </row>
    <row r="146" spans="2:13" ht="19.5" customHeight="1" hidden="1">
      <c r="B146" s="34"/>
      <c r="C146" s="34"/>
      <c r="D146" s="210"/>
      <c r="E146" s="113"/>
      <c r="F146" s="114"/>
      <c r="G146" s="114"/>
      <c r="H146" s="76"/>
      <c r="I146" s="170" t="s">
        <v>115</v>
      </c>
      <c r="J146" s="344"/>
      <c r="K146" s="173"/>
      <c r="L146" s="20"/>
      <c r="M146" s="18">
        <v>100000</v>
      </c>
    </row>
    <row r="147" spans="2:13" ht="19.5" customHeight="1" hidden="1">
      <c r="B147" s="34"/>
      <c r="C147" s="34"/>
      <c r="D147" s="210"/>
      <c r="E147" s="113"/>
      <c r="F147" s="114"/>
      <c r="G147" s="114"/>
      <c r="H147" s="76"/>
      <c r="I147" s="170" t="s">
        <v>116</v>
      </c>
      <c r="J147" s="344"/>
      <c r="K147" s="173"/>
      <c r="L147" s="20"/>
      <c r="M147" s="18">
        <v>60000</v>
      </c>
    </row>
    <row r="148" spans="2:13" ht="19.5" customHeight="1" hidden="1">
      <c r="B148" s="34"/>
      <c r="C148" s="34"/>
      <c r="D148" s="210"/>
      <c r="E148" s="113"/>
      <c r="F148" s="114"/>
      <c r="G148" s="114"/>
      <c r="H148" s="76"/>
      <c r="I148" s="170" t="s">
        <v>117</v>
      </c>
      <c r="J148" s="344"/>
      <c r="K148" s="173"/>
      <c r="L148" s="20"/>
      <c r="M148" s="18">
        <v>100000</v>
      </c>
    </row>
    <row r="149" spans="2:13" ht="19.5" customHeight="1" hidden="1">
      <c r="B149" s="34"/>
      <c r="C149" s="34"/>
      <c r="D149" s="210"/>
      <c r="E149" s="113"/>
      <c r="F149" s="114"/>
      <c r="G149" s="114"/>
      <c r="H149" s="76"/>
      <c r="I149" s="170" t="s">
        <v>118</v>
      </c>
      <c r="J149" s="344"/>
      <c r="K149" s="173"/>
      <c r="L149" s="20"/>
      <c r="M149" s="18">
        <v>60000</v>
      </c>
    </row>
    <row r="150" spans="2:13" ht="19.5" customHeight="1" hidden="1">
      <c r="B150" s="34"/>
      <c r="C150" s="34"/>
      <c r="D150" s="210"/>
      <c r="E150" s="113"/>
      <c r="F150" s="114"/>
      <c r="G150" s="114"/>
      <c r="H150" s="76"/>
      <c r="I150" s="170" t="s">
        <v>119</v>
      </c>
      <c r="J150" s="344"/>
      <c r="K150" s="173"/>
      <c r="L150" s="20"/>
      <c r="M150" s="18">
        <v>100000</v>
      </c>
    </row>
    <row r="151" spans="2:13" ht="19.5" customHeight="1" hidden="1">
      <c r="B151" s="34"/>
      <c r="C151" s="34"/>
      <c r="D151" s="210"/>
      <c r="E151" s="113"/>
      <c r="F151" s="114"/>
      <c r="G151" s="114"/>
      <c r="H151" s="76"/>
      <c r="I151" s="170" t="s">
        <v>120</v>
      </c>
      <c r="J151" s="344"/>
      <c r="K151" s="173"/>
      <c r="L151" s="20"/>
      <c r="M151" s="18">
        <v>50000</v>
      </c>
    </row>
    <row r="152" spans="2:13" ht="19.5" customHeight="1" hidden="1">
      <c r="B152" s="34"/>
      <c r="C152" s="34"/>
      <c r="D152" s="210"/>
      <c r="E152" s="113"/>
      <c r="F152" s="114"/>
      <c r="G152" s="114"/>
      <c r="H152" s="76"/>
      <c r="I152" s="170" t="s">
        <v>110</v>
      </c>
      <c r="J152" s="344"/>
      <c r="K152" s="173"/>
      <c r="L152" s="20"/>
      <c r="M152" s="18">
        <v>100000</v>
      </c>
    </row>
    <row r="153" spans="2:13" ht="19.5" customHeight="1" hidden="1">
      <c r="B153" s="34"/>
      <c r="C153" s="34"/>
      <c r="D153" s="210"/>
      <c r="E153" s="113"/>
      <c r="F153" s="114"/>
      <c r="G153" s="114"/>
      <c r="H153" s="76"/>
      <c r="I153" s="170" t="s">
        <v>121</v>
      </c>
      <c r="J153" s="344"/>
      <c r="K153" s="173"/>
      <c r="L153" s="20"/>
      <c r="M153" s="18">
        <v>90000</v>
      </c>
    </row>
    <row r="154" spans="2:13" ht="19.5" customHeight="1" hidden="1">
      <c r="B154" s="34"/>
      <c r="C154" s="34"/>
      <c r="D154" s="210"/>
      <c r="E154" s="113"/>
      <c r="F154" s="114"/>
      <c r="G154" s="114"/>
      <c r="H154" s="76"/>
      <c r="I154" s="170" t="s">
        <v>122</v>
      </c>
      <c r="J154" s="344"/>
      <c r="K154" s="173"/>
      <c r="L154" s="20"/>
      <c r="M154" s="10">
        <v>100000</v>
      </c>
    </row>
    <row r="155" spans="2:13" ht="19.5" customHeight="1" hidden="1">
      <c r="B155" s="34"/>
      <c r="C155" s="34"/>
      <c r="D155" s="210"/>
      <c r="E155" s="113"/>
      <c r="F155" s="114"/>
      <c r="G155" s="114"/>
      <c r="H155" s="76"/>
      <c r="I155" s="171" t="s">
        <v>291</v>
      </c>
      <c r="J155" s="346"/>
      <c r="K155" s="335"/>
      <c r="L155" s="20"/>
      <c r="M155" s="18"/>
    </row>
    <row r="156" spans="2:13" ht="19.5" customHeight="1" hidden="1">
      <c r="B156" s="34"/>
      <c r="C156" s="34"/>
      <c r="D156" s="210"/>
      <c r="E156" s="113"/>
      <c r="F156" s="114"/>
      <c r="G156" s="114"/>
      <c r="H156" s="76"/>
      <c r="I156" s="170" t="s">
        <v>292</v>
      </c>
      <c r="J156" s="344"/>
      <c r="K156" s="173"/>
      <c r="L156" s="20"/>
      <c r="M156" s="18">
        <v>800000</v>
      </c>
    </row>
    <row r="157" spans="2:13" ht="19.5" customHeight="1" hidden="1">
      <c r="B157" s="34"/>
      <c r="C157" s="34"/>
      <c r="D157" s="210"/>
      <c r="E157" s="113"/>
      <c r="F157" s="114"/>
      <c r="G157" s="114"/>
      <c r="H157" s="76"/>
      <c r="I157" s="170" t="s">
        <v>110</v>
      </c>
      <c r="J157" s="344"/>
      <c r="K157" s="173"/>
      <c r="L157" s="20"/>
      <c r="M157" s="18">
        <v>800000</v>
      </c>
    </row>
    <row r="158" spans="2:13" ht="19.5" customHeight="1" hidden="1">
      <c r="B158" s="34"/>
      <c r="C158" s="34"/>
      <c r="D158" s="210"/>
      <c r="E158" s="113"/>
      <c r="F158" s="114"/>
      <c r="G158" s="114"/>
      <c r="H158" s="76"/>
      <c r="I158" s="170" t="s">
        <v>86</v>
      </c>
      <c r="J158" s="344"/>
      <c r="K158" s="173"/>
      <c r="L158" s="20"/>
      <c r="M158" s="18">
        <v>120000</v>
      </c>
    </row>
    <row r="159" spans="2:13" ht="19.5" customHeight="1" hidden="1">
      <c r="B159" s="38"/>
      <c r="C159" s="38"/>
      <c r="D159" s="215"/>
      <c r="E159" s="121"/>
      <c r="F159" s="122"/>
      <c r="G159" s="122"/>
      <c r="H159" s="80"/>
      <c r="I159" s="177"/>
      <c r="J159" s="351"/>
      <c r="K159" s="177"/>
      <c r="L159" s="7"/>
      <c r="M159" s="22"/>
    </row>
    <row r="160" spans="2:13" ht="19.5" customHeight="1" hidden="1">
      <c r="B160" s="36"/>
      <c r="C160" s="36"/>
      <c r="D160" s="209"/>
      <c r="E160" s="111"/>
      <c r="F160" s="112"/>
      <c r="G160" s="112"/>
      <c r="H160" s="73"/>
      <c r="I160" s="173"/>
      <c r="J160" s="344"/>
      <c r="K160" s="173"/>
      <c r="L160" s="20"/>
      <c r="M160" s="23"/>
    </row>
    <row r="161" spans="2:13" ht="19.5" customHeight="1" hidden="1">
      <c r="B161" s="36"/>
      <c r="C161" s="36"/>
      <c r="D161" s="209"/>
      <c r="E161" s="111"/>
      <c r="F161" s="112"/>
      <c r="G161" s="112"/>
      <c r="H161" s="73"/>
      <c r="I161" s="173"/>
      <c r="J161" s="344"/>
      <c r="K161" s="173"/>
      <c r="L161" s="20"/>
      <c r="M161" s="23"/>
    </row>
    <row r="162" spans="2:13" ht="19.5" customHeight="1" hidden="1">
      <c r="B162" s="36"/>
      <c r="C162" s="36"/>
      <c r="D162" s="209"/>
      <c r="E162" s="111"/>
      <c r="F162" s="112"/>
      <c r="G162" s="112"/>
      <c r="H162" s="73"/>
      <c r="I162" s="173"/>
      <c r="J162" s="344"/>
      <c r="K162" s="173"/>
      <c r="L162" s="20"/>
      <c r="M162" s="23"/>
    </row>
    <row r="163" spans="2:13" ht="19.5" customHeight="1" hidden="1">
      <c r="B163" s="36"/>
      <c r="C163" s="36"/>
      <c r="D163" s="209"/>
      <c r="E163" s="111"/>
      <c r="F163" s="112"/>
      <c r="G163" s="112"/>
      <c r="H163" s="73"/>
      <c r="I163" s="173"/>
      <c r="J163" s="344"/>
      <c r="K163" s="173"/>
      <c r="L163" s="20"/>
      <c r="M163" s="23"/>
    </row>
    <row r="164" spans="2:13" ht="19.5" customHeight="1" hidden="1">
      <c r="B164" s="40" t="s">
        <v>235</v>
      </c>
      <c r="C164" s="40"/>
      <c r="E164" s="94"/>
      <c r="H164" s="64"/>
      <c r="L164" s="20"/>
      <c r="M164" s="6" t="s">
        <v>236</v>
      </c>
    </row>
    <row r="165" spans="2:13" ht="19.5" customHeight="1" hidden="1">
      <c r="B165" s="41" t="s">
        <v>229</v>
      </c>
      <c r="C165" s="41" t="s">
        <v>230</v>
      </c>
      <c r="D165" s="212" t="s">
        <v>76</v>
      </c>
      <c r="E165" s="680" t="s">
        <v>363</v>
      </c>
      <c r="F165" s="681"/>
      <c r="G165" s="678" t="s">
        <v>228</v>
      </c>
      <c r="H165" s="679"/>
      <c r="I165" s="174" t="s">
        <v>123</v>
      </c>
      <c r="J165" s="348"/>
      <c r="K165" s="337"/>
      <c r="L165" s="7"/>
      <c r="M165" s="8"/>
    </row>
    <row r="166" spans="2:13" ht="19.5" customHeight="1" hidden="1">
      <c r="B166" s="42"/>
      <c r="C166" s="42"/>
      <c r="D166" s="213"/>
      <c r="E166" s="117" t="s">
        <v>364</v>
      </c>
      <c r="F166" s="118" t="s">
        <v>365</v>
      </c>
      <c r="G166" s="118" t="s">
        <v>366</v>
      </c>
      <c r="H166" s="78" t="s">
        <v>73</v>
      </c>
      <c r="I166" s="175"/>
      <c r="J166" s="349"/>
      <c r="K166" s="338"/>
      <c r="L166" s="25"/>
      <c r="M166" s="33"/>
    </row>
    <row r="167" spans="2:13" ht="19.5" customHeight="1" hidden="1">
      <c r="B167" s="37"/>
      <c r="C167" s="37"/>
      <c r="D167" s="214" t="s">
        <v>87</v>
      </c>
      <c r="E167" s="119">
        <v>13990000</v>
      </c>
      <c r="F167" s="120">
        <f>SUM(M167:M232)</f>
        <v>10650000</v>
      </c>
      <c r="G167" s="120">
        <f>F167-E167</f>
        <v>-3340000</v>
      </c>
      <c r="H167" s="81">
        <f>G167/E167</f>
        <v>-0.23874195854181557</v>
      </c>
      <c r="I167" s="176" t="s">
        <v>124</v>
      </c>
      <c r="J167" s="350"/>
      <c r="K167" s="339"/>
      <c r="L167" s="7"/>
      <c r="M167" s="8"/>
    </row>
    <row r="168" spans="2:13" ht="19.5" customHeight="1" hidden="1">
      <c r="B168" s="34"/>
      <c r="C168" s="34"/>
      <c r="D168" s="210"/>
      <c r="E168" s="123"/>
      <c r="F168" s="124"/>
      <c r="G168" s="124"/>
      <c r="I168" s="171" t="s">
        <v>125</v>
      </c>
      <c r="J168" s="346"/>
      <c r="K168" s="335"/>
      <c r="L168" s="20"/>
      <c r="M168" s="11"/>
    </row>
    <row r="169" spans="2:13" ht="19.5" customHeight="1" hidden="1">
      <c r="B169" s="34"/>
      <c r="C169" s="34"/>
      <c r="D169" s="210"/>
      <c r="E169" s="113"/>
      <c r="F169" s="114"/>
      <c r="G169" s="114"/>
      <c r="H169" s="82"/>
      <c r="I169" s="170" t="s">
        <v>293</v>
      </c>
      <c r="J169" s="344"/>
      <c r="K169" s="173"/>
      <c r="L169" s="20"/>
      <c r="M169" s="11">
        <v>100000</v>
      </c>
    </row>
    <row r="170" spans="2:13" ht="19.5" customHeight="1" hidden="1">
      <c r="B170" s="34"/>
      <c r="C170" s="34" t="s">
        <v>234</v>
      </c>
      <c r="D170" s="210" t="s">
        <v>80</v>
      </c>
      <c r="E170" s="113"/>
      <c r="F170" s="114"/>
      <c r="G170" s="114"/>
      <c r="H170" s="82"/>
      <c r="I170" s="170" t="s">
        <v>294</v>
      </c>
      <c r="J170" s="344"/>
      <c r="K170" s="173"/>
      <c r="L170" s="20"/>
      <c r="M170" s="12">
        <v>50000</v>
      </c>
    </row>
    <row r="171" spans="2:13" ht="19.5" customHeight="1" hidden="1">
      <c r="B171" s="34"/>
      <c r="C171" s="34"/>
      <c r="D171" s="210"/>
      <c r="E171" s="113"/>
      <c r="F171" s="114"/>
      <c r="G171" s="114"/>
      <c r="H171" s="82"/>
      <c r="I171" s="170" t="s">
        <v>295</v>
      </c>
      <c r="J171" s="344"/>
      <c r="K171" s="173"/>
      <c r="L171" s="20"/>
      <c r="M171" s="13">
        <v>150000</v>
      </c>
    </row>
    <row r="172" spans="2:13" ht="19.5" customHeight="1" hidden="1">
      <c r="B172" s="34"/>
      <c r="C172" s="34"/>
      <c r="D172" s="210"/>
      <c r="E172" s="113"/>
      <c r="F172" s="114"/>
      <c r="G172" s="114"/>
      <c r="H172" s="83"/>
      <c r="I172" s="170" t="s">
        <v>296</v>
      </c>
      <c r="J172" s="344"/>
      <c r="K172" s="173"/>
      <c r="L172" s="20"/>
      <c r="M172" s="13">
        <v>180000</v>
      </c>
    </row>
    <row r="173" spans="2:13" ht="19.5" customHeight="1" hidden="1">
      <c r="B173" s="34"/>
      <c r="C173" s="34"/>
      <c r="D173" s="210"/>
      <c r="E173" s="113"/>
      <c r="F173" s="114"/>
      <c r="G173" s="114"/>
      <c r="H173" s="83"/>
      <c r="I173" s="171" t="s">
        <v>126</v>
      </c>
      <c r="J173" s="346"/>
      <c r="K173" s="335"/>
      <c r="L173" s="20"/>
      <c r="M173" s="12"/>
    </row>
    <row r="174" spans="2:13" ht="19.5" customHeight="1" hidden="1">
      <c r="B174" s="34"/>
      <c r="C174" s="34"/>
      <c r="D174" s="210"/>
      <c r="E174" s="113"/>
      <c r="F174" s="114"/>
      <c r="G174" s="114"/>
      <c r="H174" s="83"/>
      <c r="I174" s="170" t="s">
        <v>297</v>
      </c>
      <c r="J174" s="344"/>
      <c r="K174" s="173"/>
      <c r="L174" s="20"/>
      <c r="M174" s="13">
        <v>400000</v>
      </c>
    </row>
    <row r="175" spans="2:13" ht="19.5" customHeight="1" hidden="1">
      <c r="B175" s="34"/>
      <c r="C175" s="34"/>
      <c r="D175" s="210"/>
      <c r="E175" s="113"/>
      <c r="F175" s="114"/>
      <c r="G175" s="114"/>
      <c r="H175" s="83"/>
      <c r="I175" s="170" t="s">
        <v>298</v>
      </c>
      <c r="J175" s="344"/>
      <c r="K175" s="173"/>
      <c r="L175" s="20"/>
      <c r="M175" s="13">
        <v>400000</v>
      </c>
    </row>
    <row r="176" spans="2:13" ht="19.5" customHeight="1" hidden="1">
      <c r="B176" s="34"/>
      <c r="C176" s="34"/>
      <c r="D176" s="210"/>
      <c r="E176" s="113"/>
      <c r="F176" s="114"/>
      <c r="G176" s="114"/>
      <c r="H176" s="83"/>
      <c r="I176" s="170" t="s">
        <v>299</v>
      </c>
      <c r="J176" s="344"/>
      <c r="K176" s="173"/>
      <c r="L176" s="20"/>
      <c r="M176" s="12">
        <v>240000</v>
      </c>
    </row>
    <row r="177" spans="2:13" ht="19.5" customHeight="1" hidden="1">
      <c r="B177" s="34"/>
      <c r="C177" s="34"/>
      <c r="D177" s="210"/>
      <c r="E177" s="113"/>
      <c r="F177" s="114"/>
      <c r="G177" s="114"/>
      <c r="H177" s="83"/>
      <c r="I177" s="170" t="s">
        <v>300</v>
      </c>
      <c r="J177" s="344"/>
      <c r="K177" s="173"/>
      <c r="L177" s="20"/>
      <c r="M177" s="13">
        <v>240000</v>
      </c>
    </row>
    <row r="178" spans="2:13" ht="19.5" customHeight="1" hidden="1">
      <c r="B178" s="34"/>
      <c r="C178" s="34"/>
      <c r="D178" s="210"/>
      <c r="E178" s="113"/>
      <c r="F178" s="114"/>
      <c r="G178" s="114"/>
      <c r="H178" s="83"/>
      <c r="I178" s="171" t="s">
        <v>127</v>
      </c>
      <c r="J178" s="346"/>
      <c r="K178" s="335"/>
      <c r="L178" s="20"/>
      <c r="M178" s="13"/>
    </row>
    <row r="179" spans="2:13" ht="19.5" customHeight="1" hidden="1">
      <c r="B179" s="34"/>
      <c r="C179" s="34"/>
      <c r="D179" s="210"/>
      <c r="E179" s="113"/>
      <c r="F179" s="114"/>
      <c r="G179" s="114"/>
      <c r="H179" s="83"/>
      <c r="I179" s="170" t="s">
        <v>301</v>
      </c>
      <c r="J179" s="344"/>
      <c r="K179" s="173"/>
      <c r="L179" s="20"/>
      <c r="M179" s="13">
        <v>40000</v>
      </c>
    </row>
    <row r="180" spans="2:13" ht="19.5" customHeight="1" hidden="1">
      <c r="B180" s="34"/>
      <c r="C180" s="34"/>
      <c r="D180" s="210"/>
      <c r="E180" s="113"/>
      <c r="F180" s="114"/>
      <c r="G180" s="114"/>
      <c r="H180" s="83"/>
      <c r="I180" s="170" t="s">
        <v>302</v>
      </c>
      <c r="J180" s="344"/>
      <c r="K180" s="173"/>
      <c r="L180" s="20"/>
      <c r="M180" s="13">
        <v>200000</v>
      </c>
    </row>
    <row r="181" spans="2:13" ht="19.5" customHeight="1" hidden="1">
      <c r="B181" s="34"/>
      <c r="C181" s="34"/>
      <c r="D181" s="210"/>
      <c r="E181" s="113"/>
      <c r="F181" s="114"/>
      <c r="G181" s="114"/>
      <c r="H181" s="83"/>
      <c r="I181" s="170" t="s">
        <v>303</v>
      </c>
      <c r="J181" s="344"/>
      <c r="K181" s="173"/>
      <c r="L181" s="20"/>
      <c r="M181" s="18">
        <v>40000</v>
      </c>
    </row>
    <row r="182" spans="2:13" ht="19.5" customHeight="1" hidden="1">
      <c r="B182" s="43"/>
      <c r="C182" s="45"/>
      <c r="D182" s="216"/>
      <c r="E182" s="125"/>
      <c r="F182" s="126"/>
      <c r="G182" s="126"/>
      <c r="H182" s="84"/>
      <c r="I182" s="171" t="s">
        <v>132</v>
      </c>
      <c r="J182" s="346"/>
      <c r="K182" s="335"/>
      <c r="L182" s="31"/>
      <c r="M182" s="12"/>
    </row>
    <row r="183" spans="2:13" ht="19.5" customHeight="1" hidden="1">
      <c r="B183" s="43"/>
      <c r="C183" s="45"/>
      <c r="D183" s="216"/>
      <c r="E183" s="125"/>
      <c r="F183" s="126"/>
      <c r="G183" s="126"/>
      <c r="H183" s="85"/>
      <c r="I183" s="178" t="s">
        <v>304</v>
      </c>
      <c r="J183" s="296"/>
      <c r="K183" s="340"/>
      <c r="L183" s="20"/>
      <c r="M183" s="18">
        <v>30000</v>
      </c>
    </row>
    <row r="184" spans="2:13" ht="19.5" customHeight="1" hidden="1">
      <c r="B184" s="43"/>
      <c r="C184" s="45"/>
      <c r="D184" s="216"/>
      <c r="E184" s="125"/>
      <c r="F184" s="126"/>
      <c r="G184" s="126"/>
      <c r="H184" s="85"/>
      <c r="I184" s="178" t="s">
        <v>305</v>
      </c>
      <c r="J184" s="296"/>
      <c r="K184" s="340"/>
      <c r="L184" s="20"/>
      <c r="M184" s="18">
        <v>450000</v>
      </c>
    </row>
    <row r="185" spans="2:13" ht="19.5" customHeight="1" hidden="1">
      <c r="B185" s="43"/>
      <c r="C185" s="45"/>
      <c r="D185" s="216"/>
      <c r="E185" s="125"/>
      <c r="F185" s="126"/>
      <c r="G185" s="126"/>
      <c r="H185" s="85"/>
      <c r="I185" s="178" t="s">
        <v>306</v>
      </c>
      <c r="J185" s="296"/>
      <c r="K185" s="340"/>
      <c r="L185" s="20"/>
      <c r="M185" s="18">
        <v>200000</v>
      </c>
    </row>
    <row r="186" spans="2:13" ht="19.5" customHeight="1" hidden="1">
      <c r="B186" s="43"/>
      <c r="C186" s="45"/>
      <c r="D186" s="216"/>
      <c r="E186" s="125"/>
      <c r="F186" s="126"/>
      <c r="G186" s="126"/>
      <c r="H186" s="85"/>
      <c r="I186" s="178" t="s">
        <v>307</v>
      </c>
      <c r="J186" s="296"/>
      <c r="K186" s="340"/>
      <c r="L186" s="20"/>
      <c r="M186" s="18">
        <v>200000</v>
      </c>
    </row>
    <row r="187" spans="2:13" ht="19.5" customHeight="1" hidden="1">
      <c r="B187" s="43"/>
      <c r="C187" s="45"/>
      <c r="D187" s="216"/>
      <c r="E187" s="125"/>
      <c r="F187" s="126"/>
      <c r="G187" s="126"/>
      <c r="H187" s="85"/>
      <c r="I187" s="178" t="s">
        <v>308</v>
      </c>
      <c r="J187" s="296"/>
      <c r="K187" s="340"/>
      <c r="L187" s="20"/>
      <c r="M187" s="18">
        <v>150000</v>
      </c>
    </row>
    <row r="188" spans="2:13" ht="19.5" customHeight="1" hidden="1">
      <c r="B188" s="43"/>
      <c r="C188" s="45"/>
      <c r="D188" s="216"/>
      <c r="E188" s="125"/>
      <c r="F188" s="126"/>
      <c r="G188" s="126"/>
      <c r="H188" s="85"/>
      <c r="I188" s="178" t="s">
        <v>309</v>
      </c>
      <c r="J188" s="296"/>
      <c r="K188" s="340"/>
      <c r="L188" s="20"/>
      <c r="M188" s="18">
        <v>150000</v>
      </c>
    </row>
    <row r="189" spans="2:13" ht="19.5" customHeight="1" hidden="1">
      <c r="B189" s="43"/>
      <c r="C189" s="45"/>
      <c r="D189" s="216"/>
      <c r="E189" s="125"/>
      <c r="F189" s="126"/>
      <c r="G189" s="126"/>
      <c r="H189" s="85"/>
      <c r="I189" s="178" t="s">
        <v>310</v>
      </c>
      <c r="J189" s="296"/>
      <c r="K189" s="340"/>
      <c r="L189" s="20"/>
      <c r="M189" s="18">
        <v>200000</v>
      </c>
    </row>
    <row r="190" spans="2:13" ht="19.5" customHeight="1" hidden="1">
      <c r="B190" s="44"/>
      <c r="C190" s="46"/>
      <c r="D190" s="217"/>
      <c r="E190" s="127"/>
      <c r="F190" s="128"/>
      <c r="G190" s="128"/>
      <c r="H190" s="86"/>
      <c r="I190" s="179" t="s">
        <v>311</v>
      </c>
      <c r="J190" s="352"/>
      <c r="K190" s="341"/>
      <c r="L190" s="25"/>
      <c r="M190" s="19">
        <v>40000</v>
      </c>
    </row>
    <row r="191" spans="2:13" ht="19.5" customHeight="1" hidden="1">
      <c r="B191" s="40" t="s">
        <v>235</v>
      </c>
      <c r="C191" s="40"/>
      <c r="E191" s="94"/>
      <c r="H191" s="64"/>
      <c r="L191" s="9"/>
      <c r="M191" s="6" t="s">
        <v>236</v>
      </c>
    </row>
    <row r="192" spans="2:13" ht="19.5" customHeight="1" hidden="1">
      <c r="B192" s="41" t="s">
        <v>229</v>
      </c>
      <c r="C192" s="41" t="s">
        <v>230</v>
      </c>
      <c r="D192" s="212" t="s">
        <v>76</v>
      </c>
      <c r="E192" s="680" t="s">
        <v>363</v>
      </c>
      <c r="F192" s="681"/>
      <c r="G192" s="678" t="s">
        <v>228</v>
      </c>
      <c r="H192" s="679"/>
      <c r="I192" s="174" t="s">
        <v>123</v>
      </c>
      <c r="J192" s="348"/>
      <c r="K192" s="337"/>
      <c r="L192" s="7"/>
      <c r="M192" s="8"/>
    </row>
    <row r="193" spans="2:13" ht="19.5" customHeight="1" hidden="1">
      <c r="B193" s="42"/>
      <c r="C193" s="42"/>
      <c r="D193" s="213"/>
      <c r="E193" s="117" t="s">
        <v>364</v>
      </c>
      <c r="F193" s="118" t="s">
        <v>365</v>
      </c>
      <c r="G193" s="118" t="s">
        <v>366</v>
      </c>
      <c r="H193" s="78" t="s">
        <v>73</v>
      </c>
      <c r="I193" s="175"/>
      <c r="J193" s="349"/>
      <c r="K193" s="338"/>
      <c r="L193" s="25"/>
      <c r="M193" s="33"/>
    </row>
    <row r="194" spans="2:13" ht="19.5" customHeight="1" hidden="1">
      <c r="B194" s="34"/>
      <c r="C194" s="47"/>
      <c r="D194" s="210"/>
      <c r="E194" s="113"/>
      <c r="F194" s="114"/>
      <c r="G194" s="114"/>
      <c r="H194" s="87"/>
      <c r="I194" s="176" t="s">
        <v>128</v>
      </c>
      <c r="J194" s="350"/>
      <c r="K194" s="339"/>
      <c r="L194" s="7"/>
      <c r="M194" s="15"/>
    </row>
    <row r="195" spans="2:13" ht="19.5" customHeight="1" hidden="1">
      <c r="B195" s="34"/>
      <c r="C195" s="47"/>
      <c r="D195" s="210"/>
      <c r="E195" s="113"/>
      <c r="F195" s="114"/>
      <c r="G195" s="114"/>
      <c r="H195" s="87"/>
      <c r="I195" s="170" t="s">
        <v>312</v>
      </c>
      <c r="J195" s="344"/>
      <c r="K195" s="173"/>
      <c r="L195" s="20"/>
      <c r="M195" s="18">
        <v>500000</v>
      </c>
    </row>
    <row r="196" spans="2:13" ht="19.5" customHeight="1" hidden="1">
      <c r="B196" s="34"/>
      <c r="C196" s="47"/>
      <c r="D196" s="210"/>
      <c r="E196" s="113"/>
      <c r="F196" s="114"/>
      <c r="G196" s="114"/>
      <c r="H196" s="87"/>
      <c r="I196" s="170" t="s">
        <v>313</v>
      </c>
      <c r="J196" s="344"/>
      <c r="K196" s="173"/>
      <c r="L196" s="20"/>
      <c r="M196" s="13">
        <v>800000</v>
      </c>
    </row>
    <row r="197" spans="2:13" ht="19.5" customHeight="1" hidden="1">
      <c r="B197" s="34"/>
      <c r="C197" s="47"/>
      <c r="D197" s="210"/>
      <c r="E197" s="113"/>
      <c r="F197" s="114"/>
      <c r="G197" s="114"/>
      <c r="H197" s="87"/>
      <c r="I197" s="170" t="s">
        <v>314</v>
      </c>
      <c r="J197" s="344"/>
      <c r="K197" s="173"/>
      <c r="L197" s="20"/>
      <c r="M197" s="13">
        <v>800000</v>
      </c>
    </row>
    <row r="198" spans="2:13" ht="19.5" customHeight="1" hidden="1">
      <c r="B198" s="34"/>
      <c r="C198" s="47"/>
      <c r="D198" s="210"/>
      <c r="E198" s="113"/>
      <c r="F198" s="114"/>
      <c r="G198" s="114"/>
      <c r="H198" s="87"/>
      <c r="I198" s="170" t="s">
        <v>315</v>
      </c>
      <c r="J198" s="344"/>
      <c r="K198" s="173"/>
      <c r="L198" s="20"/>
      <c r="M198" s="13">
        <v>150000</v>
      </c>
    </row>
    <row r="199" spans="2:13" ht="19.5" customHeight="1" hidden="1">
      <c r="B199" s="48"/>
      <c r="C199" s="47"/>
      <c r="D199" s="210"/>
      <c r="E199" s="113"/>
      <c r="F199" s="114"/>
      <c r="G199" s="114"/>
      <c r="H199" s="87"/>
      <c r="I199" s="171" t="s">
        <v>129</v>
      </c>
      <c r="J199" s="346"/>
      <c r="K199" s="335"/>
      <c r="L199" s="20"/>
      <c r="M199" s="12"/>
    </row>
    <row r="200" spans="2:13" ht="19.5" customHeight="1" hidden="1">
      <c r="B200" s="48"/>
      <c r="C200" s="47"/>
      <c r="D200" s="210"/>
      <c r="E200" s="113"/>
      <c r="F200" s="114"/>
      <c r="G200" s="114"/>
      <c r="H200" s="87"/>
      <c r="I200" s="170" t="s">
        <v>316</v>
      </c>
      <c r="J200" s="344"/>
      <c r="K200" s="173"/>
      <c r="L200" s="20"/>
      <c r="M200" s="13">
        <v>50000</v>
      </c>
    </row>
    <row r="201" spans="2:13" ht="19.5" customHeight="1" hidden="1">
      <c r="B201" s="48"/>
      <c r="C201" s="47"/>
      <c r="D201" s="210"/>
      <c r="E201" s="113"/>
      <c r="F201" s="114"/>
      <c r="G201" s="114"/>
      <c r="H201" s="87"/>
      <c r="I201" s="170" t="s">
        <v>317</v>
      </c>
      <c r="J201" s="344"/>
      <c r="K201" s="173"/>
      <c r="L201" s="20"/>
      <c r="M201" s="13">
        <v>200000</v>
      </c>
    </row>
    <row r="202" spans="2:13" ht="19.5" customHeight="1" hidden="1">
      <c r="B202" s="48"/>
      <c r="C202" s="47"/>
      <c r="D202" s="210"/>
      <c r="E202" s="113"/>
      <c r="F202" s="114"/>
      <c r="G202" s="114"/>
      <c r="H202" s="87"/>
      <c r="I202" s="170" t="s">
        <v>318</v>
      </c>
      <c r="J202" s="344"/>
      <c r="K202" s="173"/>
      <c r="L202" s="20"/>
      <c r="M202" s="13">
        <v>200000</v>
      </c>
    </row>
    <row r="203" spans="2:13" ht="19.5" customHeight="1" hidden="1">
      <c r="B203" s="48"/>
      <c r="C203" s="47"/>
      <c r="D203" s="210"/>
      <c r="E203" s="113"/>
      <c r="F203" s="114"/>
      <c r="G203" s="114"/>
      <c r="H203" s="87"/>
      <c r="I203" s="170" t="s">
        <v>319</v>
      </c>
      <c r="J203" s="344"/>
      <c r="K203" s="173"/>
      <c r="L203" s="20"/>
      <c r="M203" s="13">
        <v>800000</v>
      </c>
    </row>
    <row r="204" spans="2:13" ht="19.5" customHeight="1" hidden="1">
      <c r="B204" s="48"/>
      <c r="C204" s="47"/>
      <c r="D204" s="210"/>
      <c r="E204" s="113"/>
      <c r="F204" s="114"/>
      <c r="G204" s="114"/>
      <c r="H204" s="87"/>
      <c r="I204" s="170" t="s">
        <v>320</v>
      </c>
      <c r="J204" s="344"/>
      <c r="K204" s="173"/>
      <c r="L204" s="20"/>
      <c r="M204" s="13">
        <v>50000</v>
      </c>
    </row>
    <row r="205" spans="2:13" ht="19.5" customHeight="1" hidden="1">
      <c r="B205" s="48"/>
      <c r="C205" s="47"/>
      <c r="D205" s="210"/>
      <c r="E205" s="113"/>
      <c r="F205" s="114"/>
      <c r="G205" s="114"/>
      <c r="H205" s="87"/>
      <c r="I205" s="170" t="s">
        <v>321</v>
      </c>
      <c r="J205" s="344"/>
      <c r="K205" s="173"/>
      <c r="L205" s="20"/>
      <c r="M205" s="13">
        <v>60000</v>
      </c>
    </row>
    <row r="206" spans="2:13" ht="19.5" customHeight="1" hidden="1">
      <c r="B206" s="48"/>
      <c r="C206" s="47"/>
      <c r="D206" s="210"/>
      <c r="E206" s="113"/>
      <c r="F206" s="114"/>
      <c r="G206" s="114"/>
      <c r="H206" s="87"/>
      <c r="I206" s="171" t="s">
        <v>130</v>
      </c>
      <c r="J206" s="346"/>
      <c r="K206" s="335"/>
      <c r="L206" s="20"/>
      <c r="M206" s="13"/>
    </row>
    <row r="207" spans="2:13" ht="19.5" customHeight="1" hidden="1">
      <c r="B207" s="48"/>
      <c r="C207" s="47"/>
      <c r="D207" s="210"/>
      <c r="E207" s="113"/>
      <c r="F207" s="114"/>
      <c r="G207" s="114"/>
      <c r="H207" s="87"/>
      <c r="I207" s="170" t="s">
        <v>322</v>
      </c>
      <c r="J207" s="344"/>
      <c r="K207" s="173"/>
      <c r="L207" s="20"/>
      <c r="M207" s="13">
        <v>150000</v>
      </c>
    </row>
    <row r="208" spans="2:13" ht="19.5" customHeight="1" hidden="1">
      <c r="B208" s="48"/>
      <c r="C208" s="47"/>
      <c r="D208" s="210"/>
      <c r="E208" s="113"/>
      <c r="F208" s="114"/>
      <c r="G208" s="114"/>
      <c r="H208" s="87"/>
      <c r="I208" s="170" t="s">
        <v>323</v>
      </c>
      <c r="J208" s="344"/>
      <c r="K208" s="173"/>
      <c r="L208" s="20"/>
      <c r="M208" s="18">
        <v>400000</v>
      </c>
    </row>
    <row r="209" spans="2:13" ht="19.5" customHeight="1" hidden="1">
      <c r="B209" s="48"/>
      <c r="C209" s="47"/>
      <c r="D209" s="210"/>
      <c r="E209" s="113"/>
      <c r="F209" s="114"/>
      <c r="G209" s="114"/>
      <c r="H209" s="87"/>
      <c r="I209" s="170" t="s">
        <v>324</v>
      </c>
      <c r="J209" s="344"/>
      <c r="K209" s="173"/>
      <c r="L209" s="20"/>
      <c r="M209" s="18">
        <v>50000</v>
      </c>
    </row>
    <row r="210" spans="2:13" ht="19.5" customHeight="1" hidden="1">
      <c r="B210" s="48"/>
      <c r="C210" s="47"/>
      <c r="D210" s="210"/>
      <c r="E210" s="113"/>
      <c r="F210" s="114"/>
      <c r="G210" s="114"/>
      <c r="H210" s="88"/>
      <c r="I210" s="170" t="s">
        <v>325</v>
      </c>
      <c r="J210" s="344"/>
      <c r="K210" s="173"/>
      <c r="L210" s="20"/>
      <c r="M210" s="18">
        <v>50000</v>
      </c>
    </row>
    <row r="211" spans="2:13" ht="19.5" customHeight="1" hidden="1">
      <c r="B211" s="48"/>
      <c r="C211" s="47"/>
      <c r="D211" s="210"/>
      <c r="E211" s="113"/>
      <c r="F211" s="114"/>
      <c r="G211" s="114"/>
      <c r="H211" s="88"/>
      <c r="I211" s="170" t="s">
        <v>326</v>
      </c>
      <c r="J211" s="344"/>
      <c r="K211" s="173"/>
      <c r="L211" s="20"/>
      <c r="M211" s="18">
        <v>450000</v>
      </c>
    </row>
    <row r="212" spans="2:13" ht="19.5" customHeight="1" hidden="1">
      <c r="B212" s="48"/>
      <c r="C212" s="47"/>
      <c r="D212" s="210"/>
      <c r="E212" s="113"/>
      <c r="F212" s="114"/>
      <c r="G212" s="114"/>
      <c r="H212" s="87"/>
      <c r="I212" s="170" t="s">
        <v>320</v>
      </c>
      <c r="J212" s="344"/>
      <c r="K212" s="173"/>
      <c r="L212" s="20"/>
      <c r="M212" s="18">
        <v>50000</v>
      </c>
    </row>
    <row r="213" spans="2:13" ht="19.5" customHeight="1" hidden="1">
      <c r="B213" s="35"/>
      <c r="C213" s="35"/>
      <c r="D213" s="211"/>
      <c r="E213" s="115"/>
      <c r="F213" s="116"/>
      <c r="G213" s="116"/>
      <c r="H213" s="89"/>
      <c r="I213" s="172" t="s">
        <v>321</v>
      </c>
      <c r="J213" s="347"/>
      <c r="K213" s="336"/>
      <c r="L213" s="25"/>
      <c r="M213" s="19">
        <v>60000</v>
      </c>
    </row>
    <row r="214" spans="2:13" ht="19.5" customHeight="1" hidden="1">
      <c r="B214" s="38"/>
      <c r="C214" s="38"/>
      <c r="D214" s="215"/>
      <c r="E214" s="121"/>
      <c r="F214" s="122"/>
      <c r="G214" s="122"/>
      <c r="H214" s="90"/>
      <c r="I214" s="177"/>
      <c r="J214" s="351"/>
      <c r="K214" s="177"/>
      <c r="L214" s="7"/>
      <c r="M214" s="22"/>
    </row>
    <row r="215" spans="2:13" ht="19.5" customHeight="1" hidden="1">
      <c r="B215" s="36"/>
      <c r="C215" s="36"/>
      <c r="D215" s="209"/>
      <c r="E215" s="111"/>
      <c r="F215" s="112"/>
      <c r="G215" s="112"/>
      <c r="H215" s="74"/>
      <c r="I215" s="173"/>
      <c r="J215" s="344"/>
      <c r="K215" s="173"/>
      <c r="L215" s="20"/>
      <c r="M215" s="23"/>
    </row>
    <row r="216" spans="2:13" ht="19.5" customHeight="1" hidden="1">
      <c r="B216" s="36"/>
      <c r="C216" s="36"/>
      <c r="D216" s="209"/>
      <c r="E216" s="111"/>
      <c r="F216" s="112"/>
      <c r="G216" s="112"/>
      <c r="H216" s="74"/>
      <c r="I216" s="173"/>
      <c r="J216" s="344"/>
      <c r="K216" s="173"/>
      <c r="L216" s="20"/>
      <c r="M216" s="23"/>
    </row>
    <row r="217" spans="2:13" ht="19.5" customHeight="1" hidden="1">
      <c r="B217" s="36"/>
      <c r="C217" s="36"/>
      <c r="D217" s="209"/>
      <c r="E217" s="111"/>
      <c r="F217" s="112"/>
      <c r="G217" s="112"/>
      <c r="H217" s="74"/>
      <c r="I217" s="173"/>
      <c r="J217" s="344"/>
      <c r="K217" s="173"/>
      <c r="L217" s="20"/>
      <c r="M217" s="23"/>
    </row>
    <row r="218" spans="2:13" ht="19.5" customHeight="1" hidden="1">
      <c r="B218" s="40" t="s">
        <v>235</v>
      </c>
      <c r="C218" s="40"/>
      <c r="E218" s="94"/>
      <c r="H218" s="64"/>
      <c r="L218" s="9"/>
      <c r="M218" s="6" t="s">
        <v>236</v>
      </c>
    </row>
    <row r="219" spans="2:13" ht="19.5" customHeight="1" hidden="1">
      <c r="B219" s="41" t="s">
        <v>229</v>
      </c>
      <c r="C219" s="41" t="s">
        <v>230</v>
      </c>
      <c r="D219" s="212" t="s">
        <v>76</v>
      </c>
      <c r="E219" s="680" t="s">
        <v>363</v>
      </c>
      <c r="F219" s="681"/>
      <c r="G219" s="678" t="s">
        <v>228</v>
      </c>
      <c r="H219" s="679"/>
      <c r="I219" s="174" t="s">
        <v>123</v>
      </c>
      <c r="J219" s="348"/>
      <c r="K219" s="337"/>
      <c r="L219" s="7"/>
      <c r="M219" s="8"/>
    </row>
    <row r="220" spans="2:13" ht="19.5" customHeight="1" hidden="1">
      <c r="B220" s="42"/>
      <c r="C220" s="42"/>
      <c r="D220" s="213"/>
      <c r="E220" s="117" t="s">
        <v>364</v>
      </c>
      <c r="F220" s="118" t="s">
        <v>365</v>
      </c>
      <c r="G220" s="118" t="s">
        <v>366</v>
      </c>
      <c r="H220" s="78" t="s">
        <v>73</v>
      </c>
      <c r="I220" s="175"/>
      <c r="J220" s="349"/>
      <c r="K220" s="338"/>
      <c r="L220" s="25"/>
      <c r="M220" s="33"/>
    </row>
    <row r="221" spans="2:13" ht="19.5" customHeight="1" hidden="1">
      <c r="B221" s="34"/>
      <c r="C221" s="34"/>
      <c r="D221" s="210"/>
      <c r="E221" s="113"/>
      <c r="F221" s="114"/>
      <c r="G221" s="114"/>
      <c r="H221" s="87"/>
      <c r="I221" s="171" t="s">
        <v>131</v>
      </c>
      <c r="J221" s="346"/>
      <c r="K221" s="335"/>
      <c r="L221" s="20"/>
      <c r="M221" s="18"/>
    </row>
    <row r="222" spans="2:13" ht="19.5" customHeight="1" hidden="1">
      <c r="B222" s="34"/>
      <c r="C222" s="34"/>
      <c r="D222" s="210"/>
      <c r="E222" s="113"/>
      <c r="F222" s="114"/>
      <c r="G222" s="114"/>
      <c r="H222" s="87"/>
      <c r="I222" s="171" t="s">
        <v>50</v>
      </c>
      <c r="J222" s="346"/>
      <c r="K222" s="335"/>
      <c r="L222" s="20"/>
      <c r="M222" s="18">
        <v>80000</v>
      </c>
    </row>
    <row r="223" spans="2:13" ht="19.5" customHeight="1" hidden="1">
      <c r="B223" s="34"/>
      <c r="C223" s="34"/>
      <c r="D223" s="210"/>
      <c r="E223" s="113"/>
      <c r="F223" s="114"/>
      <c r="G223" s="114"/>
      <c r="H223" s="87"/>
      <c r="I223" s="170" t="s">
        <v>135</v>
      </c>
      <c r="J223" s="344"/>
      <c r="K223" s="173"/>
      <c r="L223" s="20"/>
      <c r="M223" s="18">
        <v>120000</v>
      </c>
    </row>
    <row r="224" spans="2:13" ht="19.5" customHeight="1" hidden="1">
      <c r="B224" s="34"/>
      <c r="C224" s="34"/>
      <c r="D224" s="210"/>
      <c r="E224" s="113"/>
      <c r="F224" s="114"/>
      <c r="G224" s="114"/>
      <c r="H224" s="87"/>
      <c r="I224" s="170" t="s">
        <v>136</v>
      </c>
      <c r="J224" s="344"/>
      <c r="K224" s="173"/>
      <c r="L224" s="20"/>
      <c r="M224" s="18">
        <v>300000</v>
      </c>
    </row>
    <row r="225" spans="2:13" ht="19.5" customHeight="1" hidden="1">
      <c r="B225" s="34"/>
      <c r="C225" s="34"/>
      <c r="D225" s="210"/>
      <c r="E225" s="113"/>
      <c r="F225" s="114"/>
      <c r="G225" s="114"/>
      <c r="H225" s="87"/>
      <c r="I225" s="170" t="s">
        <v>137</v>
      </c>
      <c r="J225" s="344"/>
      <c r="K225" s="173"/>
      <c r="L225" s="20"/>
      <c r="M225" s="18">
        <v>300000</v>
      </c>
    </row>
    <row r="226" spans="2:13" ht="19.5" customHeight="1" hidden="1">
      <c r="B226" s="34"/>
      <c r="C226" s="34"/>
      <c r="D226" s="210"/>
      <c r="E226" s="113"/>
      <c r="F226" s="114"/>
      <c r="G226" s="114"/>
      <c r="H226" s="87"/>
      <c r="I226" s="170" t="s">
        <v>138</v>
      </c>
      <c r="J226" s="344"/>
      <c r="K226" s="173"/>
      <c r="L226" s="20"/>
      <c r="M226" s="18">
        <v>400000</v>
      </c>
    </row>
    <row r="227" spans="2:13" ht="19.5" customHeight="1" hidden="1">
      <c r="B227" s="34"/>
      <c r="C227" s="34"/>
      <c r="D227" s="210"/>
      <c r="E227" s="113"/>
      <c r="F227" s="114"/>
      <c r="G227" s="114"/>
      <c r="H227" s="87"/>
      <c r="I227" s="170" t="s">
        <v>139</v>
      </c>
      <c r="J227" s="344"/>
      <c r="K227" s="173"/>
      <c r="L227" s="20"/>
      <c r="M227" s="18">
        <v>400000</v>
      </c>
    </row>
    <row r="228" spans="2:13" ht="19.5" customHeight="1" hidden="1">
      <c r="B228" s="34"/>
      <c r="C228" s="34"/>
      <c r="D228" s="210"/>
      <c r="E228" s="113"/>
      <c r="F228" s="114"/>
      <c r="G228" s="114"/>
      <c r="H228" s="87"/>
      <c r="I228" s="170" t="s">
        <v>140</v>
      </c>
      <c r="J228" s="344"/>
      <c r="K228" s="173"/>
      <c r="L228" s="20"/>
      <c r="M228" s="18">
        <v>400000</v>
      </c>
    </row>
    <row r="229" spans="2:13" ht="19.5" customHeight="1" hidden="1">
      <c r="B229" s="34"/>
      <c r="C229" s="34"/>
      <c r="D229" s="210"/>
      <c r="E229" s="113"/>
      <c r="F229" s="114"/>
      <c r="G229" s="114"/>
      <c r="H229" s="87"/>
      <c r="I229" s="170" t="s">
        <v>141</v>
      </c>
      <c r="J229" s="344"/>
      <c r="K229" s="173"/>
      <c r="L229" s="20"/>
      <c r="M229" s="18">
        <v>100000</v>
      </c>
    </row>
    <row r="230" spans="2:13" ht="20.25" customHeight="1" hidden="1">
      <c r="B230" s="34"/>
      <c r="C230" s="34"/>
      <c r="D230" s="210"/>
      <c r="E230" s="113"/>
      <c r="F230" s="114"/>
      <c r="G230" s="114"/>
      <c r="H230" s="87"/>
      <c r="I230" s="170" t="s">
        <v>327</v>
      </c>
      <c r="J230" s="344"/>
      <c r="K230" s="173"/>
      <c r="L230" s="20"/>
      <c r="M230" s="18">
        <v>150000</v>
      </c>
    </row>
    <row r="231" spans="2:13" ht="19.5" customHeight="1" hidden="1">
      <c r="B231" s="34"/>
      <c r="C231" s="34"/>
      <c r="D231" s="210"/>
      <c r="E231" s="113"/>
      <c r="F231" s="114"/>
      <c r="G231" s="114"/>
      <c r="H231" s="87"/>
      <c r="I231" s="170" t="s">
        <v>328</v>
      </c>
      <c r="J231" s="344"/>
      <c r="K231" s="173"/>
      <c r="L231" s="20"/>
      <c r="M231" s="18">
        <v>60000</v>
      </c>
    </row>
    <row r="232" spans="2:13" ht="19.5" customHeight="1" hidden="1">
      <c r="B232" s="34"/>
      <c r="C232" s="34"/>
      <c r="D232" s="211"/>
      <c r="E232" s="115"/>
      <c r="F232" s="116"/>
      <c r="G232" s="116"/>
      <c r="H232" s="91"/>
      <c r="I232" s="172" t="s">
        <v>329</v>
      </c>
      <c r="J232" s="347"/>
      <c r="K232" s="336"/>
      <c r="L232" s="25"/>
      <c r="M232" s="19">
        <v>60000</v>
      </c>
    </row>
    <row r="233" spans="2:13" ht="19.5" customHeight="1" hidden="1">
      <c r="B233" s="34"/>
      <c r="C233" s="34"/>
      <c r="D233" s="210" t="s">
        <v>79</v>
      </c>
      <c r="E233" s="113">
        <v>18080000</v>
      </c>
      <c r="F233" s="114">
        <f>SUM(M233:M258)</f>
        <v>15440000</v>
      </c>
      <c r="G233" s="114">
        <f>F233-E233</f>
        <v>-2640000</v>
      </c>
      <c r="H233" s="76">
        <f>G233/E233</f>
        <v>-0.14601769911504425</v>
      </c>
      <c r="I233" s="176" t="s">
        <v>330</v>
      </c>
      <c r="J233" s="350"/>
      <c r="K233" s="339"/>
      <c r="L233" s="7"/>
      <c r="M233" s="15"/>
    </row>
    <row r="234" spans="2:13" ht="19.5" customHeight="1" hidden="1">
      <c r="B234" s="34"/>
      <c r="C234" s="34"/>
      <c r="D234" s="210"/>
      <c r="E234" s="113"/>
      <c r="F234" s="114"/>
      <c r="G234" s="114"/>
      <c r="H234" s="75"/>
      <c r="I234" s="170" t="s">
        <v>331</v>
      </c>
      <c r="J234" s="344"/>
      <c r="K234" s="173"/>
      <c r="L234" s="20"/>
      <c r="M234" s="13">
        <v>1200000</v>
      </c>
    </row>
    <row r="235" spans="2:13" ht="19.5" customHeight="1" hidden="1">
      <c r="B235" s="34"/>
      <c r="C235" s="34"/>
      <c r="D235" s="210"/>
      <c r="E235" s="113"/>
      <c r="F235" s="114"/>
      <c r="G235" s="114"/>
      <c r="H235" s="75"/>
      <c r="I235" s="170" t="s">
        <v>91</v>
      </c>
      <c r="J235" s="344"/>
      <c r="K235" s="173"/>
      <c r="L235" s="20"/>
      <c r="M235" s="13">
        <v>500000</v>
      </c>
    </row>
    <row r="236" spans="2:13" ht="19.5" customHeight="1" hidden="1">
      <c r="B236" s="34"/>
      <c r="C236" s="34"/>
      <c r="D236" s="210"/>
      <c r="E236" s="113"/>
      <c r="F236" s="114"/>
      <c r="G236" s="114"/>
      <c r="H236" s="75"/>
      <c r="I236" s="170" t="s">
        <v>332</v>
      </c>
      <c r="J236" s="344"/>
      <c r="K236" s="173"/>
      <c r="L236" s="20"/>
      <c r="M236" s="13">
        <v>180000</v>
      </c>
    </row>
    <row r="237" spans="2:13" ht="19.5" customHeight="1" hidden="1">
      <c r="B237" s="34"/>
      <c r="C237" s="34"/>
      <c r="D237" s="210"/>
      <c r="E237" s="113"/>
      <c r="F237" s="114"/>
      <c r="G237" s="114"/>
      <c r="H237" s="75"/>
      <c r="I237" s="170" t="s">
        <v>93</v>
      </c>
      <c r="J237" s="344"/>
      <c r="K237" s="173"/>
      <c r="L237" s="32"/>
      <c r="M237" s="13">
        <v>600000</v>
      </c>
    </row>
    <row r="238" spans="2:13" ht="19.5" customHeight="1" hidden="1">
      <c r="B238" s="34"/>
      <c r="C238" s="34"/>
      <c r="D238" s="210"/>
      <c r="E238" s="113"/>
      <c r="F238" s="114"/>
      <c r="G238" s="114"/>
      <c r="H238" s="75"/>
      <c r="I238" s="170" t="s">
        <v>95</v>
      </c>
      <c r="J238" s="344"/>
      <c r="K238" s="173"/>
      <c r="L238" s="20"/>
      <c r="M238" s="13">
        <v>500000</v>
      </c>
    </row>
    <row r="239" spans="2:13" ht="19.5" customHeight="1" hidden="1">
      <c r="B239" s="34"/>
      <c r="C239" s="34"/>
      <c r="D239" s="210"/>
      <c r="E239" s="113"/>
      <c r="F239" s="114"/>
      <c r="G239" s="114"/>
      <c r="H239" s="75"/>
      <c r="I239" s="170" t="s">
        <v>96</v>
      </c>
      <c r="J239" s="344"/>
      <c r="K239" s="173"/>
      <c r="L239" s="20"/>
      <c r="M239" s="13">
        <v>840000</v>
      </c>
    </row>
    <row r="240" spans="2:13" ht="19.5" customHeight="1" hidden="1">
      <c r="B240" s="34"/>
      <c r="C240" s="34"/>
      <c r="D240" s="210"/>
      <c r="E240" s="113"/>
      <c r="F240" s="114"/>
      <c r="G240" s="114"/>
      <c r="H240" s="75"/>
      <c r="I240" s="170" t="s">
        <v>333</v>
      </c>
      <c r="J240" s="344"/>
      <c r="K240" s="173"/>
      <c r="L240" s="20"/>
      <c r="M240" s="13">
        <v>120000</v>
      </c>
    </row>
    <row r="241" spans="2:13" ht="19.5" customHeight="1" hidden="1">
      <c r="B241" s="34"/>
      <c r="C241" s="34"/>
      <c r="D241" s="210"/>
      <c r="E241" s="113"/>
      <c r="F241" s="114"/>
      <c r="G241" s="114"/>
      <c r="H241" s="75"/>
      <c r="I241" s="170" t="s">
        <v>99</v>
      </c>
      <c r="J241" s="344"/>
      <c r="K241" s="173"/>
      <c r="L241" s="20"/>
      <c r="M241" s="13">
        <v>500000</v>
      </c>
    </row>
    <row r="242" spans="2:13" ht="19.5" customHeight="1" hidden="1">
      <c r="B242" s="34"/>
      <c r="C242" s="34"/>
      <c r="D242" s="210"/>
      <c r="E242" s="113"/>
      <c r="F242" s="114"/>
      <c r="G242" s="114"/>
      <c r="H242" s="75"/>
      <c r="I242" s="170" t="s">
        <v>100</v>
      </c>
      <c r="J242" s="344"/>
      <c r="K242" s="173"/>
      <c r="L242" s="20"/>
      <c r="M242" s="13">
        <v>1600000</v>
      </c>
    </row>
    <row r="243" spans="2:13" ht="19.5" customHeight="1" hidden="1">
      <c r="B243" s="34"/>
      <c r="C243" s="34"/>
      <c r="D243" s="210"/>
      <c r="E243" s="113"/>
      <c r="F243" s="114"/>
      <c r="G243" s="114"/>
      <c r="H243" s="75"/>
      <c r="I243" s="170" t="s">
        <v>334</v>
      </c>
      <c r="J243" s="344"/>
      <c r="K243" s="173"/>
      <c r="L243" s="20"/>
      <c r="M243" s="13">
        <v>2000000</v>
      </c>
    </row>
    <row r="244" spans="2:13" ht="19.5" customHeight="1" hidden="1">
      <c r="B244" s="35"/>
      <c r="C244" s="35"/>
      <c r="D244" s="211"/>
      <c r="E244" s="115"/>
      <c r="F244" s="116"/>
      <c r="G244" s="116"/>
      <c r="H244" s="89"/>
      <c r="I244" s="172" t="s">
        <v>102</v>
      </c>
      <c r="J244" s="347"/>
      <c r="K244" s="336"/>
      <c r="L244" s="25"/>
      <c r="M244" s="14">
        <v>600000</v>
      </c>
    </row>
    <row r="245" spans="2:13" ht="19.5" customHeight="1" hidden="1">
      <c r="B245" s="40" t="s">
        <v>235</v>
      </c>
      <c r="C245" s="40"/>
      <c r="E245" s="94"/>
      <c r="H245" s="64"/>
      <c r="L245" s="9"/>
      <c r="M245" s="17"/>
    </row>
    <row r="246" spans="2:13" ht="19.5" customHeight="1" hidden="1">
      <c r="B246" s="41" t="s">
        <v>229</v>
      </c>
      <c r="C246" s="41" t="s">
        <v>230</v>
      </c>
      <c r="D246" s="212" t="s">
        <v>76</v>
      </c>
      <c r="E246" s="680" t="s">
        <v>363</v>
      </c>
      <c r="F246" s="681"/>
      <c r="G246" s="678" t="s">
        <v>228</v>
      </c>
      <c r="H246" s="679"/>
      <c r="I246" s="174" t="s">
        <v>123</v>
      </c>
      <c r="J246" s="348"/>
      <c r="K246" s="337"/>
      <c r="L246" s="7"/>
      <c r="M246" s="8"/>
    </row>
    <row r="247" spans="2:13" ht="19.5" customHeight="1" hidden="1">
      <c r="B247" s="42"/>
      <c r="C247" s="42"/>
      <c r="D247" s="213"/>
      <c r="E247" s="117" t="s">
        <v>364</v>
      </c>
      <c r="F247" s="118" t="s">
        <v>365</v>
      </c>
      <c r="G247" s="118" t="s">
        <v>366</v>
      </c>
      <c r="H247" s="78" t="s">
        <v>73</v>
      </c>
      <c r="I247" s="175"/>
      <c r="J247" s="349"/>
      <c r="K247" s="338"/>
      <c r="L247" s="25"/>
      <c r="M247" s="33"/>
    </row>
    <row r="248" spans="2:13" ht="19.5" customHeight="1" hidden="1">
      <c r="B248" s="34"/>
      <c r="C248" s="34"/>
      <c r="D248" s="210"/>
      <c r="E248" s="113"/>
      <c r="F248" s="114"/>
      <c r="G248" s="114"/>
      <c r="H248" s="75"/>
      <c r="I248" s="171" t="s">
        <v>335</v>
      </c>
      <c r="J248" s="346"/>
      <c r="K248" s="335"/>
      <c r="L248" s="20"/>
      <c r="M248" s="12"/>
    </row>
    <row r="249" spans="2:13" ht="19.5" customHeight="1" hidden="1">
      <c r="B249" s="34"/>
      <c r="C249" s="34"/>
      <c r="D249" s="210"/>
      <c r="E249" s="113"/>
      <c r="F249" s="114"/>
      <c r="G249" s="114"/>
      <c r="H249" s="75"/>
      <c r="I249" s="170" t="s">
        <v>336</v>
      </c>
      <c r="J249" s="344"/>
      <c r="K249" s="173"/>
      <c r="L249" s="20"/>
      <c r="M249" s="13">
        <v>400000</v>
      </c>
    </row>
    <row r="250" spans="2:13" ht="19.5" customHeight="1" hidden="1">
      <c r="B250" s="34"/>
      <c r="C250" s="34"/>
      <c r="D250" s="210"/>
      <c r="E250" s="113"/>
      <c r="F250" s="114"/>
      <c r="G250" s="114"/>
      <c r="H250" s="75"/>
      <c r="I250" s="170" t="s">
        <v>337</v>
      </c>
      <c r="J250" s="344"/>
      <c r="K250" s="173"/>
      <c r="L250" s="20"/>
      <c r="M250" s="13">
        <v>4800000</v>
      </c>
    </row>
    <row r="251" spans="2:13" ht="19.5" customHeight="1" hidden="1">
      <c r="B251" s="34"/>
      <c r="C251" s="34"/>
      <c r="D251" s="210"/>
      <c r="E251" s="113"/>
      <c r="F251" s="114"/>
      <c r="G251" s="114"/>
      <c r="H251" s="75"/>
      <c r="I251" s="170" t="s">
        <v>338</v>
      </c>
      <c r="J251" s="344"/>
      <c r="K251" s="173"/>
      <c r="L251" s="20"/>
      <c r="M251" s="13">
        <v>120000</v>
      </c>
    </row>
    <row r="252" spans="2:13" ht="19.5" customHeight="1" hidden="1">
      <c r="B252" s="34"/>
      <c r="C252" s="34"/>
      <c r="D252" s="210"/>
      <c r="E252" s="113"/>
      <c r="F252" s="114"/>
      <c r="G252" s="114"/>
      <c r="H252" s="75"/>
      <c r="I252" s="170" t="s">
        <v>104</v>
      </c>
      <c r="J252" s="344"/>
      <c r="K252" s="173"/>
      <c r="L252" s="20"/>
      <c r="M252" s="13">
        <v>80000</v>
      </c>
    </row>
    <row r="253" spans="2:13" ht="19.5" customHeight="1" hidden="1">
      <c r="B253" s="34"/>
      <c r="C253" s="34"/>
      <c r="D253" s="210"/>
      <c r="E253" s="113"/>
      <c r="F253" s="114"/>
      <c r="G253" s="114"/>
      <c r="H253" s="87"/>
      <c r="I253" s="171" t="s">
        <v>339</v>
      </c>
      <c r="J253" s="346"/>
      <c r="K253" s="335"/>
      <c r="L253" s="20"/>
      <c r="M253" s="12"/>
    </row>
    <row r="254" spans="2:13" ht="19.5" customHeight="1" hidden="1">
      <c r="B254" s="34"/>
      <c r="C254" s="34"/>
      <c r="D254" s="210"/>
      <c r="E254" s="113"/>
      <c r="F254" s="114"/>
      <c r="G254" s="114"/>
      <c r="H254" s="87"/>
      <c r="I254" s="170" t="s">
        <v>340</v>
      </c>
      <c r="J254" s="344"/>
      <c r="K254" s="173"/>
      <c r="L254" s="20"/>
      <c r="M254" s="13">
        <v>200000</v>
      </c>
    </row>
    <row r="255" spans="2:13" ht="19.5" customHeight="1" hidden="1">
      <c r="B255" s="34"/>
      <c r="C255" s="34"/>
      <c r="D255" s="210"/>
      <c r="E255" s="113"/>
      <c r="F255" s="114"/>
      <c r="G255" s="114"/>
      <c r="H255" s="87"/>
      <c r="I255" s="170" t="s">
        <v>341</v>
      </c>
      <c r="J255" s="344"/>
      <c r="K255" s="173"/>
      <c r="L255" s="20"/>
      <c r="M255" s="13">
        <v>600000</v>
      </c>
    </row>
    <row r="256" spans="2:13" ht="19.5" customHeight="1" hidden="1">
      <c r="B256" s="34"/>
      <c r="C256" s="34"/>
      <c r="D256" s="210"/>
      <c r="E256" s="113"/>
      <c r="F256" s="114"/>
      <c r="G256" s="114"/>
      <c r="H256" s="87"/>
      <c r="I256" s="171" t="s">
        <v>342</v>
      </c>
      <c r="J256" s="346"/>
      <c r="K256" s="335"/>
      <c r="L256" s="20"/>
      <c r="M256" s="12"/>
    </row>
    <row r="257" spans="2:13" ht="19.5" customHeight="1" hidden="1">
      <c r="B257" s="34"/>
      <c r="C257" s="34"/>
      <c r="D257" s="210"/>
      <c r="E257" s="113"/>
      <c r="F257" s="114"/>
      <c r="G257" s="114"/>
      <c r="H257" s="87"/>
      <c r="I257" s="170" t="s">
        <v>343</v>
      </c>
      <c r="J257" s="344"/>
      <c r="K257" s="173"/>
      <c r="L257" s="20"/>
      <c r="M257" s="13">
        <v>400000</v>
      </c>
    </row>
    <row r="258" spans="2:13" ht="19.5" customHeight="1" hidden="1">
      <c r="B258" s="34"/>
      <c r="C258" s="34"/>
      <c r="D258" s="210"/>
      <c r="E258" s="113"/>
      <c r="F258" s="114"/>
      <c r="G258" s="114"/>
      <c r="H258" s="87"/>
      <c r="I258" s="170" t="s">
        <v>344</v>
      </c>
      <c r="J258" s="344"/>
      <c r="K258" s="173"/>
      <c r="L258" s="20"/>
      <c r="M258" s="13">
        <v>200000</v>
      </c>
    </row>
    <row r="259" spans="2:13" ht="19.5" customHeight="1" hidden="1">
      <c r="B259" s="34"/>
      <c r="C259" s="34"/>
      <c r="D259" s="214" t="s">
        <v>88</v>
      </c>
      <c r="E259" s="119">
        <v>2250000</v>
      </c>
      <c r="F259" s="120">
        <f>SUM(M259:M281)</f>
        <v>2200000</v>
      </c>
      <c r="G259" s="120">
        <f>F259-E259</f>
        <v>-50000</v>
      </c>
      <c r="H259" s="79">
        <f>G259/E259</f>
        <v>-0.022222222222222223</v>
      </c>
      <c r="I259" s="176" t="s">
        <v>106</v>
      </c>
      <c r="J259" s="350"/>
      <c r="K259" s="339"/>
      <c r="L259" s="7"/>
      <c r="M259" s="15"/>
    </row>
    <row r="260" spans="2:13" ht="19.5" customHeight="1" hidden="1">
      <c r="B260" s="34"/>
      <c r="C260" s="34"/>
      <c r="D260" s="210"/>
      <c r="E260" s="113"/>
      <c r="F260" s="114"/>
      <c r="G260" s="114"/>
      <c r="H260" s="75"/>
      <c r="I260" s="170" t="s">
        <v>345</v>
      </c>
      <c r="J260" s="344"/>
      <c r="K260" s="173"/>
      <c r="L260" s="20"/>
      <c r="M260" s="13">
        <v>100000</v>
      </c>
    </row>
    <row r="261" spans="2:13" ht="19.5" customHeight="1" hidden="1">
      <c r="B261" s="34"/>
      <c r="C261" s="34"/>
      <c r="D261" s="210"/>
      <c r="E261" s="113"/>
      <c r="F261" s="114"/>
      <c r="G261" s="114"/>
      <c r="H261" s="75"/>
      <c r="I261" s="170" t="s">
        <v>86</v>
      </c>
      <c r="J261" s="344"/>
      <c r="K261" s="173"/>
      <c r="L261" s="20"/>
      <c r="M261" s="13">
        <v>100000</v>
      </c>
    </row>
    <row r="262" spans="2:13" ht="19.5" customHeight="1" hidden="1">
      <c r="B262" s="34"/>
      <c r="C262" s="34"/>
      <c r="D262" s="210"/>
      <c r="E262" s="113"/>
      <c r="F262" s="114"/>
      <c r="G262" s="114"/>
      <c r="H262" s="75"/>
      <c r="I262" s="171" t="s">
        <v>346</v>
      </c>
      <c r="J262" s="346"/>
      <c r="K262" s="335"/>
      <c r="L262" s="20"/>
      <c r="M262" s="13" t="s">
        <v>234</v>
      </c>
    </row>
    <row r="263" spans="2:13" ht="19.5" customHeight="1" hidden="1">
      <c r="B263" s="34"/>
      <c r="C263" s="34"/>
      <c r="D263" s="210"/>
      <c r="E263" s="113"/>
      <c r="F263" s="114"/>
      <c r="G263" s="114"/>
      <c r="H263" s="75"/>
      <c r="I263" s="168" t="s">
        <v>343</v>
      </c>
      <c r="J263" s="296"/>
      <c r="K263" s="165"/>
      <c r="L263" s="20"/>
      <c r="M263" s="18">
        <v>500000</v>
      </c>
    </row>
    <row r="264" spans="2:13" ht="19.5" customHeight="1" hidden="1">
      <c r="B264" s="34"/>
      <c r="C264" s="34"/>
      <c r="D264" s="210"/>
      <c r="E264" s="113"/>
      <c r="F264" s="114"/>
      <c r="G264" s="114"/>
      <c r="H264" s="75"/>
      <c r="I264" s="168" t="s">
        <v>86</v>
      </c>
      <c r="J264" s="296"/>
      <c r="K264" s="165"/>
      <c r="L264" s="30"/>
      <c r="M264" s="10">
        <v>100000</v>
      </c>
    </row>
    <row r="265" spans="2:13" ht="19.5" customHeight="1" hidden="1">
      <c r="B265" s="34"/>
      <c r="C265" s="34"/>
      <c r="D265" s="210"/>
      <c r="E265" s="113"/>
      <c r="F265" s="114"/>
      <c r="G265" s="114"/>
      <c r="H265" s="75"/>
      <c r="I265" s="180" t="s">
        <v>347</v>
      </c>
      <c r="J265" s="353"/>
      <c r="K265" s="180"/>
      <c r="L265" s="9"/>
      <c r="M265" s="12"/>
    </row>
    <row r="266" spans="2:13" ht="19.5" customHeight="1" hidden="1">
      <c r="B266" s="34"/>
      <c r="C266" s="34"/>
      <c r="D266" s="210"/>
      <c r="E266" s="113"/>
      <c r="F266" s="114"/>
      <c r="G266" s="114"/>
      <c r="H266" s="75"/>
      <c r="I266" s="154" t="s">
        <v>86</v>
      </c>
      <c r="L266" s="9"/>
      <c r="M266" s="13">
        <v>240000</v>
      </c>
    </row>
    <row r="267" spans="2:13" ht="19.5" customHeight="1" hidden="1">
      <c r="B267" s="34"/>
      <c r="C267" s="34"/>
      <c r="D267" s="210"/>
      <c r="E267" s="113"/>
      <c r="F267" s="114"/>
      <c r="G267" s="114"/>
      <c r="H267" s="75"/>
      <c r="I267" s="154" t="s">
        <v>348</v>
      </c>
      <c r="L267" s="9"/>
      <c r="M267" s="13">
        <v>120000</v>
      </c>
    </row>
    <row r="268" spans="2:13" ht="19.5" customHeight="1" hidden="1">
      <c r="B268" s="34"/>
      <c r="C268" s="34"/>
      <c r="D268" s="210"/>
      <c r="E268" s="113"/>
      <c r="F268" s="114"/>
      <c r="G268" s="114"/>
      <c r="H268" s="75"/>
      <c r="I268" s="180" t="s">
        <v>349</v>
      </c>
      <c r="J268" s="353"/>
      <c r="K268" s="180"/>
      <c r="L268" s="9"/>
      <c r="M268" s="13" t="s">
        <v>234</v>
      </c>
    </row>
    <row r="269" spans="2:13" ht="19.5" customHeight="1" hidden="1">
      <c r="B269" s="34"/>
      <c r="C269" s="34"/>
      <c r="D269" s="210"/>
      <c r="E269" s="113"/>
      <c r="F269" s="114"/>
      <c r="G269" s="114"/>
      <c r="H269" s="75"/>
      <c r="I269" s="154" t="s">
        <v>86</v>
      </c>
      <c r="L269" s="9"/>
      <c r="M269" s="13">
        <v>240000</v>
      </c>
    </row>
    <row r="270" spans="2:13" ht="19.5" customHeight="1" hidden="1">
      <c r="B270" s="38"/>
      <c r="C270" s="38"/>
      <c r="D270" s="215"/>
      <c r="E270" s="121"/>
      <c r="F270" s="122"/>
      <c r="G270" s="122"/>
      <c r="H270" s="90"/>
      <c r="I270" s="177"/>
      <c r="J270" s="351"/>
      <c r="K270" s="177"/>
      <c r="L270" s="7"/>
      <c r="M270" s="24"/>
    </row>
    <row r="271" spans="2:13" ht="19.5" customHeight="1" hidden="1">
      <c r="B271" s="36"/>
      <c r="C271" s="36"/>
      <c r="D271" s="209"/>
      <c r="E271" s="111"/>
      <c r="F271" s="112"/>
      <c r="G271" s="112"/>
      <c r="H271" s="74"/>
      <c r="I271" s="173"/>
      <c r="J271" s="344"/>
      <c r="K271" s="173"/>
      <c r="L271" s="20"/>
      <c r="M271" s="16"/>
    </row>
    <row r="272" spans="2:13" ht="19.5" customHeight="1" hidden="1">
      <c r="B272" s="40" t="s">
        <v>235</v>
      </c>
      <c r="C272" s="40"/>
      <c r="E272" s="94"/>
      <c r="H272" s="64"/>
      <c r="L272" s="9"/>
      <c r="M272" s="17"/>
    </row>
    <row r="273" spans="2:13" ht="19.5" customHeight="1" hidden="1">
      <c r="B273" s="41" t="s">
        <v>229</v>
      </c>
      <c r="C273" s="41" t="s">
        <v>230</v>
      </c>
      <c r="D273" s="212" t="s">
        <v>76</v>
      </c>
      <c r="E273" s="680" t="s">
        <v>363</v>
      </c>
      <c r="F273" s="681"/>
      <c r="G273" s="678" t="s">
        <v>228</v>
      </c>
      <c r="H273" s="679"/>
      <c r="I273" s="174" t="s">
        <v>123</v>
      </c>
      <c r="J273" s="348"/>
      <c r="K273" s="337"/>
      <c r="L273" s="7"/>
      <c r="M273" s="8"/>
    </row>
    <row r="274" spans="2:13" ht="19.5" customHeight="1" hidden="1">
      <c r="B274" s="42"/>
      <c r="C274" s="42"/>
      <c r="D274" s="213"/>
      <c r="E274" s="117" t="s">
        <v>364</v>
      </c>
      <c r="F274" s="118" t="s">
        <v>365</v>
      </c>
      <c r="G274" s="118" t="s">
        <v>366</v>
      </c>
      <c r="H274" s="78" t="s">
        <v>73</v>
      </c>
      <c r="I274" s="175"/>
      <c r="J274" s="349"/>
      <c r="K274" s="338"/>
      <c r="L274" s="25"/>
      <c r="M274" s="33"/>
    </row>
    <row r="275" spans="2:13" ht="19.5" customHeight="1" hidden="1">
      <c r="B275" s="34"/>
      <c r="C275" s="34"/>
      <c r="D275" s="210"/>
      <c r="E275" s="113"/>
      <c r="F275" s="114"/>
      <c r="G275" s="114"/>
      <c r="H275" s="75"/>
      <c r="I275" s="180" t="s">
        <v>350</v>
      </c>
      <c r="J275" s="353"/>
      <c r="K275" s="180"/>
      <c r="L275" s="9"/>
      <c r="M275" s="13" t="s">
        <v>234</v>
      </c>
    </row>
    <row r="276" spans="2:13" ht="19.5" customHeight="1" hidden="1">
      <c r="B276" s="34"/>
      <c r="C276" s="34"/>
      <c r="D276" s="210"/>
      <c r="E276" s="113"/>
      <c r="F276" s="114"/>
      <c r="G276" s="114"/>
      <c r="H276" s="75"/>
      <c r="I276" s="154" t="s">
        <v>351</v>
      </c>
      <c r="L276" s="9"/>
      <c r="M276" s="12">
        <v>50000</v>
      </c>
    </row>
    <row r="277" spans="2:13" ht="19.5" customHeight="1" hidden="1">
      <c r="B277" s="34"/>
      <c r="C277" s="34"/>
      <c r="D277" s="210"/>
      <c r="E277" s="113"/>
      <c r="F277" s="114"/>
      <c r="G277" s="114"/>
      <c r="H277" s="75"/>
      <c r="I277" s="154" t="s">
        <v>352</v>
      </c>
      <c r="L277" s="9"/>
      <c r="M277" s="13">
        <v>50000</v>
      </c>
    </row>
    <row r="278" spans="2:13" ht="19.5" customHeight="1" hidden="1">
      <c r="B278" s="34"/>
      <c r="C278" s="34"/>
      <c r="D278" s="210"/>
      <c r="E278" s="113"/>
      <c r="F278" s="114"/>
      <c r="G278" s="114"/>
      <c r="H278" s="75"/>
      <c r="I278" s="154" t="s">
        <v>353</v>
      </c>
      <c r="L278" s="9"/>
      <c r="M278" s="13">
        <v>100000</v>
      </c>
    </row>
    <row r="279" spans="2:13" ht="19.5" customHeight="1" hidden="1">
      <c r="B279" s="34"/>
      <c r="C279" s="34"/>
      <c r="D279" s="210"/>
      <c r="E279" s="113"/>
      <c r="F279" s="114"/>
      <c r="G279" s="114"/>
      <c r="H279" s="75"/>
      <c r="I279" s="154" t="s">
        <v>86</v>
      </c>
      <c r="L279" s="9"/>
      <c r="M279" s="13">
        <v>240000</v>
      </c>
    </row>
    <row r="280" spans="2:13" ht="19.5" customHeight="1" hidden="1">
      <c r="B280" s="34"/>
      <c r="C280" s="34"/>
      <c r="D280" s="210"/>
      <c r="E280" s="113"/>
      <c r="F280" s="114"/>
      <c r="G280" s="114"/>
      <c r="H280" s="75"/>
      <c r="I280" s="154" t="s">
        <v>348</v>
      </c>
      <c r="L280" s="9"/>
      <c r="M280" s="13">
        <v>60000</v>
      </c>
    </row>
    <row r="281" spans="2:13" ht="19.5" customHeight="1" hidden="1">
      <c r="B281" s="34"/>
      <c r="C281" s="34"/>
      <c r="D281" s="210"/>
      <c r="E281" s="113"/>
      <c r="F281" s="114"/>
      <c r="G281" s="114"/>
      <c r="H281" s="75"/>
      <c r="I281" s="154" t="s">
        <v>274</v>
      </c>
      <c r="L281" s="9"/>
      <c r="M281" s="14">
        <v>300000</v>
      </c>
    </row>
    <row r="282" spans="2:13" ht="19.5" customHeight="1" hidden="1">
      <c r="B282" s="37"/>
      <c r="C282" s="37"/>
      <c r="D282" s="214" t="s">
        <v>89</v>
      </c>
      <c r="E282" s="119">
        <v>1800000</v>
      </c>
      <c r="F282" s="120">
        <f>SUM(M282:M293)</f>
        <v>1970000</v>
      </c>
      <c r="G282" s="120">
        <f>F282-E282</f>
        <v>170000</v>
      </c>
      <c r="H282" s="92">
        <f>G282/E282</f>
        <v>0.09444444444444444</v>
      </c>
      <c r="I282" s="176" t="s">
        <v>133</v>
      </c>
      <c r="J282" s="350"/>
      <c r="K282" s="339"/>
      <c r="L282" s="7"/>
      <c r="M282" s="15"/>
    </row>
    <row r="283" spans="2:13" ht="19.5" customHeight="1" hidden="1">
      <c r="B283" s="34"/>
      <c r="C283" s="34"/>
      <c r="D283" s="210"/>
      <c r="E283" s="113"/>
      <c r="F283" s="114"/>
      <c r="G283" s="114"/>
      <c r="H283" s="87"/>
      <c r="I283" s="170" t="s">
        <v>354</v>
      </c>
      <c r="J283" s="344"/>
      <c r="K283" s="173"/>
      <c r="L283" s="20"/>
      <c r="M283" s="13">
        <v>30000</v>
      </c>
    </row>
    <row r="284" spans="2:13" ht="19.5" customHeight="1" hidden="1">
      <c r="B284" s="34"/>
      <c r="C284" s="34"/>
      <c r="D284" s="210"/>
      <c r="E284" s="113"/>
      <c r="F284" s="114"/>
      <c r="G284" s="114"/>
      <c r="H284" s="87"/>
      <c r="I284" s="170" t="s">
        <v>355</v>
      </c>
      <c r="J284" s="344"/>
      <c r="K284" s="173"/>
      <c r="L284" s="20"/>
      <c r="M284" s="18">
        <v>200000</v>
      </c>
    </row>
    <row r="285" spans="2:13" ht="19.5" customHeight="1" hidden="1">
      <c r="B285" s="34"/>
      <c r="C285" s="34"/>
      <c r="D285" s="210"/>
      <c r="E285" s="113"/>
      <c r="F285" s="114"/>
      <c r="G285" s="114"/>
      <c r="H285" s="87"/>
      <c r="I285" s="170" t="s">
        <v>356</v>
      </c>
      <c r="J285" s="344"/>
      <c r="K285" s="173"/>
      <c r="L285" s="20"/>
      <c r="M285" s="18">
        <v>250000</v>
      </c>
    </row>
    <row r="286" spans="2:13" ht="19.5" customHeight="1" hidden="1">
      <c r="B286" s="34"/>
      <c r="C286" s="34"/>
      <c r="D286" s="210"/>
      <c r="E286" s="113"/>
      <c r="F286" s="114"/>
      <c r="G286" s="114"/>
      <c r="H286" s="87"/>
      <c r="I286" s="170" t="s">
        <v>357</v>
      </c>
      <c r="J286" s="344"/>
      <c r="K286" s="173"/>
      <c r="L286" s="20"/>
      <c r="M286" s="18">
        <v>30000</v>
      </c>
    </row>
    <row r="287" spans="2:13" ht="19.5" customHeight="1" hidden="1">
      <c r="B287" s="34"/>
      <c r="C287" s="34"/>
      <c r="D287" s="210"/>
      <c r="E287" s="113"/>
      <c r="F287" s="114"/>
      <c r="G287" s="114"/>
      <c r="H287" s="87"/>
      <c r="I287" s="170" t="s">
        <v>358</v>
      </c>
      <c r="J287" s="344"/>
      <c r="K287" s="173"/>
      <c r="L287" s="20"/>
      <c r="M287" s="18">
        <v>100000</v>
      </c>
    </row>
    <row r="288" spans="2:13" ht="19.5" customHeight="1" hidden="1">
      <c r="B288" s="34"/>
      <c r="C288" s="34"/>
      <c r="D288" s="210"/>
      <c r="E288" s="113"/>
      <c r="F288" s="114"/>
      <c r="G288" s="114"/>
      <c r="H288" s="87"/>
      <c r="I288" s="170" t="s">
        <v>359</v>
      </c>
      <c r="J288" s="344"/>
      <c r="K288" s="173"/>
      <c r="L288" s="20"/>
      <c r="M288" s="18">
        <v>200000</v>
      </c>
    </row>
    <row r="289" spans="2:13" ht="19.5" customHeight="1" hidden="1">
      <c r="B289" s="34"/>
      <c r="C289" s="34"/>
      <c r="D289" s="210"/>
      <c r="E289" s="113"/>
      <c r="F289" s="114"/>
      <c r="G289" s="114"/>
      <c r="H289" s="87"/>
      <c r="I289" s="171" t="s">
        <v>134</v>
      </c>
      <c r="J289" s="346"/>
      <c r="K289" s="335"/>
      <c r="L289" s="20"/>
      <c r="M289" s="18"/>
    </row>
    <row r="290" spans="2:13" ht="19.5" customHeight="1" hidden="1">
      <c r="B290" s="34"/>
      <c r="C290" s="34"/>
      <c r="D290" s="210"/>
      <c r="E290" s="113"/>
      <c r="F290" s="114"/>
      <c r="G290" s="114"/>
      <c r="H290" s="87"/>
      <c r="I290" s="170" t="s">
        <v>360</v>
      </c>
      <c r="J290" s="344"/>
      <c r="K290" s="173"/>
      <c r="L290" s="20"/>
      <c r="M290" s="18">
        <v>300000</v>
      </c>
    </row>
    <row r="291" spans="2:13" ht="19.5" customHeight="1" hidden="1">
      <c r="B291" s="34"/>
      <c r="C291" s="34"/>
      <c r="D291" s="210"/>
      <c r="E291" s="113"/>
      <c r="F291" s="114"/>
      <c r="G291" s="114"/>
      <c r="H291" s="87"/>
      <c r="I291" s="170" t="s">
        <v>359</v>
      </c>
      <c r="J291" s="344"/>
      <c r="K291" s="173"/>
      <c r="L291" s="20"/>
      <c r="M291" s="18">
        <v>200000</v>
      </c>
    </row>
    <row r="292" spans="2:13" ht="19.5" customHeight="1" hidden="1">
      <c r="B292" s="34"/>
      <c r="C292" s="34"/>
      <c r="D292" s="210"/>
      <c r="E292" s="113"/>
      <c r="F292" s="114"/>
      <c r="G292" s="114"/>
      <c r="H292" s="87"/>
      <c r="I292" s="170" t="s">
        <v>361</v>
      </c>
      <c r="J292" s="344"/>
      <c r="K292" s="173"/>
      <c r="L292" s="20"/>
      <c r="M292" s="18">
        <v>300000</v>
      </c>
    </row>
    <row r="293" spans="2:13" ht="19.5" customHeight="1" hidden="1">
      <c r="B293" s="35"/>
      <c r="C293" s="35"/>
      <c r="D293" s="211"/>
      <c r="E293" s="115"/>
      <c r="F293" s="116"/>
      <c r="G293" s="116"/>
      <c r="H293" s="91"/>
      <c r="I293" s="172" t="s">
        <v>362</v>
      </c>
      <c r="J293" s="347"/>
      <c r="K293" s="336"/>
      <c r="L293" s="25"/>
      <c r="M293" s="19">
        <v>360000</v>
      </c>
    </row>
    <row r="294" ht="19.5" customHeight="1" hidden="1"/>
    <row r="295" ht="19.5" customHeight="1" hidden="1"/>
    <row r="296" ht="19.5" customHeight="1" hidden="1"/>
    <row r="297" ht="19.5" customHeight="1" hidden="1"/>
    <row r="298" ht="16.5" customHeight="1" hidden="1"/>
    <row r="299" ht="16.5" customHeight="1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spans="8:13" ht="13.5" hidden="1">
      <c r="H322" s="64"/>
      <c r="L322" s="26"/>
      <c r="M322" s="4"/>
    </row>
    <row r="323" spans="8:13" ht="13.5" hidden="1">
      <c r="H323" s="64"/>
      <c r="L323" s="26"/>
      <c r="M323" s="4"/>
    </row>
    <row r="324" spans="8:13" ht="13.5" hidden="1">
      <c r="H324" s="64"/>
      <c r="L324" s="26"/>
      <c r="M324" s="4"/>
    </row>
    <row r="325" spans="8:13" ht="13.5" hidden="1">
      <c r="H325" s="64"/>
      <c r="L325" s="26"/>
      <c r="M325" s="4"/>
    </row>
    <row r="326" spans="8:13" ht="13.5" hidden="1">
      <c r="H326" s="64"/>
      <c r="L326" s="26"/>
      <c r="M326" s="4"/>
    </row>
    <row r="327" spans="8:13" ht="13.5" hidden="1">
      <c r="H327" s="64"/>
      <c r="L327" s="26"/>
      <c r="M327" s="4"/>
    </row>
    <row r="328" spans="12:13" ht="13.5" hidden="1">
      <c r="L328" s="26"/>
      <c r="M328" s="4"/>
    </row>
    <row r="329" spans="12:13" ht="13.5" hidden="1">
      <c r="L329" s="26"/>
      <c r="M329" s="4"/>
    </row>
    <row r="330" spans="12:13" ht="13.5" hidden="1">
      <c r="L330" s="26"/>
      <c r="M330" s="4"/>
    </row>
    <row r="331" spans="12:13" ht="13.5" hidden="1">
      <c r="L331" s="26"/>
      <c r="M331" s="4"/>
    </row>
    <row r="332" spans="12:13" ht="13.5" hidden="1">
      <c r="L332" s="26"/>
      <c r="M332" s="4"/>
    </row>
    <row r="333" spans="12:13" ht="13.5" hidden="1">
      <c r="L333" s="26"/>
      <c r="M333" s="4"/>
    </row>
    <row r="334" spans="12:13" ht="13.5" hidden="1">
      <c r="L334" s="26"/>
      <c r="M334" s="4"/>
    </row>
    <row r="335" spans="12:13" ht="13.5" hidden="1">
      <c r="L335" s="26"/>
      <c r="M335" s="4"/>
    </row>
    <row r="336" spans="12:13" ht="13.5" hidden="1">
      <c r="L336" s="26"/>
      <c r="M336" s="4"/>
    </row>
    <row r="337" spans="12:13" ht="13.5" hidden="1">
      <c r="L337" s="26"/>
      <c r="M337" s="4"/>
    </row>
    <row r="338" spans="12:13" ht="13.5" hidden="1">
      <c r="L338" s="26"/>
      <c r="M338" s="4"/>
    </row>
    <row r="339" spans="12:13" ht="13.5" hidden="1">
      <c r="L339" s="26"/>
      <c r="M339" s="4"/>
    </row>
    <row r="340" spans="12:13" ht="13.5" hidden="1">
      <c r="L340" s="26"/>
      <c r="M340" s="4"/>
    </row>
    <row r="341" spans="12:13" ht="13.5" hidden="1">
      <c r="L341" s="26"/>
      <c r="M341" s="4"/>
    </row>
    <row r="342" spans="12:13" ht="13.5" hidden="1">
      <c r="L342" s="26"/>
      <c r="M342" s="4"/>
    </row>
    <row r="343" spans="12:13" ht="13.5" hidden="1">
      <c r="L343" s="26"/>
      <c r="M343" s="4"/>
    </row>
    <row r="344" spans="12:13" ht="13.5" hidden="1">
      <c r="L344" s="26"/>
      <c r="M344" s="4"/>
    </row>
    <row r="345" spans="12:13" ht="13.5" hidden="1">
      <c r="L345" s="26"/>
      <c r="M345" s="4"/>
    </row>
    <row r="346" spans="12:13" ht="13.5" hidden="1">
      <c r="L346" s="26"/>
      <c r="M346" s="4"/>
    </row>
    <row r="347" spans="12:13" ht="13.5" hidden="1">
      <c r="L347" s="26"/>
      <c r="M347" s="4"/>
    </row>
    <row r="348" spans="12:13" ht="13.5" hidden="1">
      <c r="L348" s="26"/>
      <c r="M348" s="4"/>
    </row>
    <row r="349" spans="12:13" ht="13.5" hidden="1">
      <c r="L349" s="26"/>
      <c r="M349" s="4"/>
    </row>
    <row r="350" spans="12:13" ht="13.5" hidden="1">
      <c r="L350" s="26"/>
      <c r="M350" s="4"/>
    </row>
    <row r="351" spans="12:13" ht="13.5" hidden="1">
      <c r="L351" s="26"/>
      <c r="M351" s="4"/>
    </row>
    <row r="352" spans="12:13" ht="13.5" hidden="1">
      <c r="L352" s="26"/>
      <c r="M352" s="4"/>
    </row>
    <row r="353" spans="12:13" ht="13.5" hidden="1">
      <c r="L353" s="26"/>
      <c r="M353" s="4"/>
    </row>
    <row r="354" spans="12:13" ht="13.5" hidden="1">
      <c r="L354" s="26"/>
      <c r="M354" s="4"/>
    </row>
    <row r="355" spans="12:13" ht="13.5" hidden="1">
      <c r="L355" s="26"/>
      <c r="M355" s="4"/>
    </row>
    <row r="356" spans="12:13" ht="13.5" hidden="1">
      <c r="L356" s="26"/>
      <c r="M356" s="4"/>
    </row>
    <row r="357" spans="12:13" ht="13.5" hidden="1">
      <c r="L357" s="26"/>
      <c r="M357" s="4"/>
    </row>
    <row r="358" spans="12:13" ht="13.5" hidden="1">
      <c r="L358" s="26"/>
      <c r="M358" s="4"/>
    </row>
    <row r="359" spans="12:13" ht="13.5" hidden="1">
      <c r="L359" s="26"/>
      <c r="M359" s="4"/>
    </row>
    <row r="360" spans="12:13" ht="13.5" hidden="1">
      <c r="L360" s="26"/>
      <c r="M360" s="4"/>
    </row>
    <row r="361" spans="12:13" ht="13.5" hidden="1">
      <c r="L361" s="26"/>
      <c r="M361" s="4"/>
    </row>
    <row r="362" spans="12:13" ht="13.5" hidden="1">
      <c r="L362" s="26"/>
      <c r="M362" s="4"/>
    </row>
    <row r="363" spans="12:13" ht="13.5" hidden="1">
      <c r="L363" s="26"/>
      <c r="M363" s="4"/>
    </row>
    <row r="364" spans="12:13" ht="13.5" hidden="1">
      <c r="L364" s="26"/>
      <c r="M364" s="4"/>
    </row>
    <row r="365" spans="12:13" ht="13.5" hidden="1">
      <c r="L365" s="26"/>
      <c r="M365" s="4"/>
    </row>
    <row r="366" spans="12:13" ht="13.5" hidden="1">
      <c r="L366" s="26"/>
      <c r="M366" s="4"/>
    </row>
    <row r="367" spans="12:13" ht="13.5" hidden="1">
      <c r="L367" s="26"/>
      <c r="M367" s="4"/>
    </row>
    <row r="368" spans="12:13" ht="13.5" hidden="1">
      <c r="L368" s="26"/>
      <c r="M368" s="4"/>
    </row>
    <row r="369" spans="12:13" ht="13.5" hidden="1">
      <c r="L369" s="26"/>
      <c r="M369" s="4"/>
    </row>
    <row r="370" spans="12:13" ht="13.5" hidden="1">
      <c r="L370" s="26"/>
      <c r="M370" s="4"/>
    </row>
    <row r="371" spans="12:13" ht="13.5" hidden="1">
      <c r="L371" s="26"/>
      <c r="M371" s="4"/>
    </row>
    <row r="372" spans="12:13" ht="13.5" hidden="1">
      <c r="L372" s="26"/>
      <c r="M372" s="4"/>
    </row>
    <row r="373" spans="12:13" ht="13.5" hidden="1">
      <c r="L373" s="26"/>
      <c r="M373" s="4"/>
    </row>
    <row r="374" spans="12:13" ht="13.5" hidden="1">
      <c r="L374" s="26"/>
      <c r="M374" s="4"/>
    </row>
    <row r="375" spans="12:13" ht="13.5" hidden="1">
      <c r="L375" s="26"/>
      <c r="M375" s="4"/>
    </row>
    <row r="376" spans="12:13" ht="13.5" hidden="1">
      <c r="L376" s="26"/>
      <c r="M376" s="4"/>
    </row>
    <row r="377" spans="12:13" ht="13.5" hidden="1">
      <c r="L377" s="26"/>
      <c r="M377" s="4"/>
    </row>
    <row r="378" spans="12:13" ht="13.5" hidden="1">
      <c r="L378" s="26"/>
      <c r="M378" s="4"/>
    </row>
    <row r="379" spans="12:13" ht="13.5" hidden="1">
      <c r="L379" s="26"/>
      <c r="M379" s="4"/>
    </row>
    <row r="380" spans="12:13" ht="13.5" hidden="1">
      <c r="L380" s="26"/>
      <c r="M380" s="4"/>
    </row>
    <row r="381" spans="12:13" ht="13.5" hidden="1">
      <c r="L381" s="26"/>
      <c r="M381" s="4"/>
    </row>
    <row r="382" spans="12:13" ht="13.5" hidden="1">
      <c r="L382" s="26"/>
      <c r="M382" s="4"/>
    </row>
    <row r="383" spans="12:13" ht="13.5" hidden="1">
      <c r="L383" s="26"/>
      <c r="M383" s="4"/>
    </row>
    <row r="384" spans="12:13" ht="13.5" hidden="1">
      <c r="L384" s="26"/>
      <c r="M384" s="4"/>
    </row>
    <row r="385" spans="12:13" ht="13.5" hidden="1">
      <c r="L385" s="26"/>
      <c r="M385" s="4"/>
    </row>
    <row r="386" spans="12:13" ht="13.5" hidden="1">
      <c r="L386" s="26"/>
      <c r="M386" s="4"/>
    </row>
    <row r="387" spans="12:13" ht="13.5" hidden="1">
      <c r="L387" s="26"/>
      <c r="M387" s="4"/>
    </row>
    <row r="388" spans="12:13" ht="13.5" hidden="1">
      <c r="L388" s="26"/>
      <c r="M388" s="4"/>
    </row>
    <row r="389" spans="12:13" ht="13.5">
      <c r="L389" s="26"/>
      <c r="M389" s="4"/>
    </row>
    <row r="390" spans="12:13" ht="13.5">
      <c r="L390" s="26"/>
      <c r="M390" s="4"/>
    </row>
    <row r="391" spans="12:13" ht="13.5">
      <c r="L391" s="26"/>
      <c r="M391" s="4"/>
    </row>
    <row r="392" spans="12:13" ht="13.5">
      <c r="L392" s="26"/>
      <c r="M392" s="4"/>
    </row>
    <row r="393" spans="12:13" ht="13.5">
      <c r="L393" s="26"/>
      <c r="M393" s="4"/>
    </row>
    <row r="394" spans="12:13" ht="13.5">
      <c r="L394" s="26"/>
      <c r="M394" s="4"/>
    </row>
    <row r="395" spans="12:13" ht="13.5">
      <c r="L395" s="26"/>
      <c r="M395" s="4"/>
    </row>
    <row r="396" spans="12:13" ht="13.5">
      <c r="L396" s="26"/>
      <c r="M396" s="4"/>
    </row>
    <row r="397" spans="12:13" ht="13.5">
      <c r="L397" s="26"/>
      <c r="M397" s="4"/>
    </row>
    <row r="398" spans="12:13" ht="13.5">
      <c r="L398" s="26"/>
      <c r="M398" s="4"/>
    </row>
    <row r="399" spans="12:13" ht="13.5">
      <c r="L399" s="26"/>
      <c r="M399" s="4"/>
    </row>
    <row r="400" spans="12:13" ht="13.5">
      <c r="L400" s="26"/>
      <c r="M400" s="4"/>
    </row>
    <row r="401" spans="12:13" ht="13.5">
      <c r="L401" s="26"/>
      <c r="M401" s="4"/>
    </row>
    <row r="402" spans="12:13" ht="13.5">
      <c r="L402" s="26"/>
      <c r="M402" s="4"/>
    </row>
    <row r="403" spans="12:13" ht="13.5">
      <c r="L403" s="26"/>
      <c r="M403" s="4"/>
    </row>
    <row r="404" spans="12:13" ht="13.5">
      <c r="L404" s="26"/>
      <c r="M404" s="4"/>
    </row>
    <row r="405" spans="12:13" ht="13.5">
      <c r="L405" s="26"/>
      <c r="M405" s="4"/>
    </row>
    <row r="406" spans="12:13" ht="13.5">
      <c r="L406" s="26"/>
      <c r="M406" s="4"/>
    </row>
    <row r="407" spans="12:13" ht="13.5">
      <c r="L407" s="26"/>
      <c r="M407" s="4"/>
    </row>
    <row r="408" spans="12:13" ht="13.5">
      <c r="L408" s="26"/>
      <c r="M408" s="4"/>
    </row>
    <row r="409" spans="12:13" ht="13.5">
      <c r="L409" s="26"/>
      <c r="M409" s="4"/>
    </row>
    <row r="410" spans="12:13" ht="13.5">
      <c r="L410" s="26"/>
      <c r="M410" s="4"/>
    </row>
    <row r="411" spans="12:13" ht="13.5">
      <c r="L411" s="26"/>
      <c r="M411" s="4"/>
    </row>
    <row r="412" spans="12:13" ht="13.5">
      <c r="L412" s="26"/>
      <c r="M412" s="4"/>
    </row>
    <row r="413" spans="12:13" ht="13.5">
      <c r="L413" s="26"/>
      <c r="M413" s="4"/>
    </row>
    <row r="414" spans="12:13" ht="13.5">
      <c r="L414" s="26"/>
      <c r="M414" s="4"/>
    </row>
    <row r="415" spans="12:13" ht="13.5">
      <c r="L415" s="26"/>
      <c r="M415" s="4"/>
    </row>
    <row r="416" spans="12:13" ht="13.5">
      <c r="L416" s="26"/>
      <c r="M416" s="4"/>
    </row>
    <row r="417" spans="12:13" ht="13.5">
      <c r="L417" s="26"/>
      <c r="M417" s="4"/>
    </row>
    <row r="418" spans="12:13" ht="13.5">
      <c r="L418" s="26"/>
      <c r="M418" s="4"/>
    </row>
    <row r="419" spans="12:13" ht="13.5">
      <c r="L419" s="26"/>
      <c r="M419" s="4"/>
    </row>
    <row r="420" spans="12:13" ht="13.5">
      <c r="L420" s="26"/>
      <c r="M420" s="4"/>
    </row>
    <row r="421" spans="12:13" ht="13.5">
      <c r="L421" s="26"/>
      <c r="M421" s="4"/>
    </row>
    <row r="422" spans="12:13" ht="13.5">
      <c r="L422" s="26"/>
      <c r="M422" s="4"/>
    </row>
    <row r="423" spans="12:13" ht="13.5">
      <c r="L423" s="26"/>
      <c r="M423" s="4"/>
    </row>
    <row r="424" spans="12:13" ht="13.5">
      <c r="L424" s="26"/>
      <c r="M424" s="4"/>
    </row>
    <row r="425" spans="12:13" ht="13.5">
      <c r="L425" s="26"/>
      <c r="M425" s="4"/>
    </row>
    <row r="426" spans="12:13" ht="13.5">
      <c r="L426" s="26"/>
      <c r="M426" s="4"/>
    </row>
    <row r="427" spans="12:13" ht="13.5">
      <c r="L427" s="26"/>
      <c r="M427" s="4"/>
    </row>
    <row r="428" spans="12:13" ht="13.5">
      <c r="L428" s="26"/>
      <c r="M428" s="4"/>
    </row>
    <row r="429" spans="12:13" ht="13.5">
      <c r="L429" s="26"/>
      <c r="M429" s="4"/>
    </row>
    <row r="430" spans="12:13" ht="13.5">
      <c r="L430" s="26"/>
      <c r="M430" s="4"/>
    </row>
    <row r="431" spans="12:13" ht="13.5">
      <c r="L431" s="26"/>
      <c r="M431" s="4"/>
    </row>
    <row r="432" spans="12:13" ht="13.5">
      <c r="L432" s="26"/>
      <c r="M432" s="4"/>
    </row>
    <row r="433" spans="12:13" ht="13.5">
      <c r="L433" s="26"/>
      <c r="M433" s="4"/>
    </row>
    <row r="434" spans="12:13" ht="13.5">
      <c r="L434" s="26"/>
      <c r="M434" s="4"/>
    </row>
    <row r="435" spans="12:13" ht="13.5">
      <c r="L435" s="26"/>
      <c r="M435" s="4"/>
    </row>
    <row r="436" spans="12:13" ht="13.5">
      <c r="L436" s="26"/>
      <c r="M436" s="4"/>
    </row>
    <row r="437" spans="12:13" ht="13.5">
      <c r="L437" s="26"/>
      <c r="M437" s="4"/>
    </row>
    <row r="438" spans="12:13" ht="13.5">
      <c r="L438" s="26"/>
      <c r="M438" s="4"/>
    </row>
    <row r="439" spans="12:13" ht="13.5">
      <c r="L439" s="26"/>
      <c r="M439" s="4"/>
    </row>
    <row r="440" spans="12:13" ht="13.5">
      <c r="L440" s="26"/>
      <c r="M440" s="4"/>
    </row>
    <row r="441" spans="12:13" ht="13.5">
      <c r="L441" s="26"/>
      <c r="M441" s="4"/>
    </row>
    <row r="442" spans="12:13" ht="13.5">
      <c r="L442" s="26"/>
      <c r="M442" s="4"/>
    </row>
    <row r="443" spans="12:13" ht="13.5">
      <c r="L443" s="26"/>
      <c r="M443" s="4"/>
    </row>
    <row r="444" spans="12:13" ht="13.5">
      <c r="L444" s="26"/>
      <c r="M444" s="4"/>
    </row>
    <row r="445" spans="12:13" ht="13.5">
      <c r="L445" s="26"/>
      <c r="M445" s="4"/>
    </row>
    <row r="446" spans="12:13" ht="13.5">
      <c r="L446" s="26"/>
      <c r="M446" s="4"/>
    </row>
    <row r="447" spans="12:13" ht="13.5">
      <c r="L447" s="26"/>
      <c r="M447" s="4"/>
    </row>
    <row r="448" spans="12:13" ht="13.5">
      <c r="L448" s="26"/>
      <c r="M448" s="4"/>
    </row>
    <row r="449" spans="12:13" ht="13.5">
      <c r="L449" s="26"/>
      <c r="M449" s="4"/>
    </row>
    <row r="450" spans="12:13" ht="13.5">
      <c r="L450" s="26"/>
      <c r="M450" s="4"/>
    </row>
    <row r="451" spans="12:13" ht="13.5">
      <c r="L451" s="26"/>
      <c r="M451" s="4"/>
    </row>
    <row r="452" spans="12:13" ht="13.5">
      <c r="L452" s="26"/>
      <c r="M452" s="4"/>
    </row>
    <row r="453" spans="12:13" ht="13.5">
      <c r="L453" s="26"/>
      <c r="M453" s="4"/>
    </row>
    <row r="454" spans="12:13" ht="13.5">
      <c r="L454" s="26"/>
      <c r="M454" s="4"/>
    </row>
    <row r="455" spans="12:13" ht="13.5">
      <c r="L455" s="26"/>
      <c r="M455" s="4"/>
    </row>
    <row r="456" spans="12:13" ht="13.5">
      <c r="L456" s="26"/>
      <c r="M456" s="4"/>
    </row>
    <row r="457" spans="12:13" ht="13.5">
      <c r="L457" s="26"/>
      <c r="M457" s="4"/>
    </row>
    <row r="458" spans="12:13" ht="13.5">
      <c r="L458" s="26"/>
      <c r="M458" s="4"/>
    </row>
    <row r="459" spans="12:13" ht="13.5">
      <c r="L459" s="26"/>
      <c r="M459" s="4"/>
    </row>
    <row r="460" spans="12:13" ht="13.5">
      <c r="L460" s="26"/>
      <c r="M460" s="4"/>
    </row>
    <row r="461" spans="12:13" ht="13.5">
      <c r="L461" s="26"/>
      <c r="M461" s="4"/>
    </row>
    <row r="462" spans="12:13" ht="13.5">
      <c r="L462" s="26"/>
      <c r="M462" s="4"/>
    </row>
    <row r="463" spans="12:13" ht="13.5">
      <c r="L463" s="26"/>
      <c r="M463" s="4"/>
    </row>
    <row r="464" spans="12:13" ht="13.5">
      <c r="L464" s="26"/>
      <c r="M464" s="4"/>
    </row>
    <row r="465" spans="12:13" ht="13.5">
      <c r="L465" s="26"/>
      <c r="M465" s="4"/>
    </row>
    <row r="466" spans="12:13" ht="13.5">
      <c r="L466" s="26"/>
      <c r="M466" s="4"/>
    </row>
    <row r="467" spans="12:13" ht="13.5">
      <c r="L467" s="26"/>
      <c r="M467" s="4"/>
    </row>
    <row r="468" spans="12:13" ht="13.5">
      <c r="L468" s="26"/>
      <c r="M468" s="4"/>
    </row>
    <row r="469" spans="12:13" ht="13.5">
      <c r="L469" s="26"/>
      <c r="M469" s="4"/>
    </row>
    <row r="470" spans="12:13" ht="13.5">
      <c r="L470" s="26"/>
      <c r="M470" s="4"/>
    </row>
    <row r="471" spans="12:13" ht="13.5">
      <c r="L471" s="26"/>
      <c r="M471" s="4"/>
    </row>
    <row r="472" spans="12:13" ht="13.5">
      <c r="L472" s="26"/>
      <c r="M472" s="4"/>
    </row>
    <row r="473" spans="12:13" ht="13.5">
      <c r="L473" s="26"/>
      <c r="M473" s="4"/>
    </row>
    <row r="474" spans="12:13" ht="13.5">
      <c r="L474" s="26"/>
      <c r="M474" s="4"/>
    </row>
    <row r="475" spans="12:13" ht="13.5">
      <c r="L475" s="26"/>
      <c r="M475" s="4"/>
    </row>
    <row r="476" spans="12:13" ht="13.5">
      <c r="L476" s="26"/>
      <c r="M476" s="4"/>
    </row>
    <row r="477" spans="12:13" ht="13.5">
      <c r="L477" s="26"/>
      <c r="M477" s="4"/>
    </row>
    <row r="478" spans="12:13" ht="13.5">
      <c r="L478" s="26"/>
      <c r="M478" s="4"/>
    </row>
    <row r="479" spans="12:13" ht="13.5">
      <c r="L479" s="26"/>
      <c r="M479" s="4"/>
    </row>
    <row r="480" spans="12:13" ht="13.5">
      <c r="L480" s="26"/>
      <c r="M480" s="4"/>
    </row>
    <row r="481" spans="12:13" ht="13.5">
      <c r="L481" s="26"/>
      <c r="M481" s="4"/>
    </row>
    <row r="482" ht="13.5">
      <c r="M482" s="5"/>
    </row>
    <row r="483" ht="13.5">
      <c r="M483" s="5"/>
    </row>
    <row r="484" ht="13.5">
      <c r="M484" s="5"/>
    </row>
    <row r="485" ht="13.5">
      <c r="M485" s="5"/>
    </row>
    <row r="486" ht="13.5">
      <c r="M486" s="5"/>
    </row>
    <row r="487" ht="13.5">
      <c r="M487" s="5"/>
    </row>
    <row r="488" ht="13.5">
      <c r="M488" s="5"/>
    </row>
    <row r="489" ht="13.5">
      <c r="M489" s="5"/>
    </row>
    <row r="490" ht="13.5">
      <c r="M490" s="5"/>
    </row>
    <row r="491" ht="13.5">
      <c r="M491" s="5"/>
    </row>
    <row r="492" ht="13.5">
      <c r="M492" s="5"/>
    </row>
    <row r="493" ht="13.5">
      <c r="M493" s="5"/>
    </row>
    <row r="494" ht="13.5">
      <c r="M494" s="5"/>
    </row>
    <row r="495" ht="13.5">
      <c r="M495" s="5"/>
    </row>
    <row r="496" ht="13.5">
      <c r="M496" s="5"/>
    </row>
    <row r="497" ht="13.5">
      <c r="M497" s="5"/>
    </row>
    <row r="498" ht="13.5">
      <c r="M498" s="5"/>
    </row>
    <row r="499" ht="13.5">
      <c r="M499" s="5"/>
    </row>
    <row r="500" ht="13.5">
      <c r="M500" s="5"/>
    </row>
    <row r="501" ht="13.5">
      <c r="M501" s="5"/>
    </row>
    <row r="502" ht="13.5">
      <c r="M502" s="5"/>
    </row>
    <row r="503" ht="13.5">
      <c r="M503" s="5"/>
    </row>
    <row r="504" ht="13.5">
      <c r="M504" s="5"/>
    </row>
    <row r="505" ht="13.5">
      <c r="M505" s="5"/>
    </row>
    <row r="506" ht="13.5">
      <c r="M506" s="5"/>
    </row>
    <row r="507" ht="13.5">
      <c r="M507" s="5"/>
    </row>
    <row r="508" ht="13.5">
      <c r="M508" s="5"/>
    </row>
    <row r="509" ht="13.5">
      <c r="M509" s="5"/>
    </row>
    <row r="510" ht="13.5">
      <c r="M510" s="5"/>
    </row>
    <row r="511" ht="13.5">
      <c r="M511" s="5"/>
    </row>
    <row r="512" ht="13.5">
      <c r="M512" s="5"/>
    </row>
    <row r="513" ht="13.5">
      <c r="M513" s="5"/>
    </row>
    <row r="514" ht="13.5">
      <c r="M514" s="5"/>
    </row>
    <row r="515" ht="13.5">
      <c r="M515" s="5"/>
    </row>
    <row r="516" ht="13.5">
      <c r="M516" s="5"/>
    </row>
    <row r="517" ht="13.5">
      <c r="M517" s="5"/>
    </row>
    <row r="518" ht="13.5">
      <c r="M518" s="5"/>
    </row>
    <row r="519" ht="13.5">
      <c r="M519" s="5"/>
    </row>
    <row r="520" ht="13.5">
      <c r="M520" s="5"/>
    </row>
    <row r="521" ht="13.5">
      <c r="M521" s="5"/>
    </row>
    <row r="522" ht="13.5">
      <c r="M522" s="5"/>
    </row>
    <row r="523" ht="13.5">
      <c r="M523" s="5"/>
    </row>
    <row r="524" ht="13.5">
      <c r="M524" s="5"/>
    </row>
    <row r="525" ht="13.5">
      <c r="M525" s="5"/>
    </row>
    <row r="526" ht="13.5">
      <c r="M526" s="5"/>
    </row>
    <row r="527" ht="13.5">
      <c r="M527" s="5"/>
    </row>
    <row r="528" ht="13.5">
      <c r="M528" s="5"/>
    </row>
    <row r="529" ht="13.5">
      <c r="M529" s="5"/>
    </row>
    <row r="530" ht="13.5">
      <c r="M530" s="5"/>
    </row>
    <row r="531" ht="13.5">
      <c r="M531" s="5"/>
    </row>
    <row r="532" ht="13.5">
      <c r="M532" s="5"/>
    </row>
    <row r="533" ht="13.5">
      <c r="M533" s="5"/>
    </row>
    <row r="534" ht="13.5">
      <c r="M534" s="5"/>
    </row>
    <row r="535" ht="13.5">
      <c r="M535" s="5"/>
    </row>
    <row r="536" ht="13.5">
      <c r="M536" s="5"/>
    </row>
    <row r="537" ht="13.5">
      <c r="M537" s="5"/>
    </row>
    <row r="538" ht="13.5">
      <c r="M538" s="5"/>
    </row>
    <row r="539" ht="13.5">
      <c r="M539" s="5"/>
    </row>
    <row r="540" ht="13.5">
      <c r="M540" s="5"/>
    </row>
    <row r="541" ht="13.5">
      <c r="M541" s="5"/>
    </row>
    <row r="542" ht="13.5">
      <c r="M542" s="5"/>
    </row>
    <row r="543" ht="13.5">
      <c r="M543" s="5"/>
    </row>
  </sheetData>
  <mergeCells count="39">
    <mergeCell ref="A2:T2"/>
    <mergeCell ref="B7:D7"/>
    <mergeCell ref="C8:D8"/>
    <mergeCell ref="B4:D4"/>
    <mergeCell ref="B6:D6"/>
    <mergeCell ref="I4:M5"/>
    <mergeCell ref="G4:H4"/>
    <mergeCell ref="E4:E5"/>
    <mergeCell ref="F4:F5"/>
    <mergeCell ref="L3:M3"/>
    <mergeCell ref="E165:F165"/>
    <mergeCell ref="E138:F138"/>
    <mergeCell ref="C79:D79"/>
    <mergeCell ref="C83:D83"/>
    <mergeCell ref="C87:D87"/>
    <mergeCell ref="C94:D94"/>
    <mergeCell ref="B82:D82"/>
    <mergeCell ref="B86:D86"/>
    <mergeCell ref="B93:D93"/>
    <mergeCell ref="E219:F219"/>
    <mergeCell ref="E192:F192"/>
    <mergeCell ref="B31:D31"/>
    <mergeCell ref="B35:D35"/>
    <mergeCell ref="B78:D78"/>
    <mergeCell ref="C63:D63"/>
    <mergeCell ref="C32:D32"/>
    <mergeCell ref="C36:D36"/>
    <mergeCell ref="C66:D66"/>
    <mergeCell ref="C69:D69"/>
    <mergeCell ref="S3:T3"/>
    <mergeCell ref="N4:T4"/>
    <mergeCell ref="G273:H273"/>
    <mergeCell ref="E273:F273"/>
    <mergeCell ref="E246:F246"/>
    <mergeCell ref="G138:H138"/>
    <mergeCell ref="G246:H246"/>
    <mergeCell ref="G219:H219"/>
    <mergeCell ref="G165:H165"/>
    <mergeCell ref="G192:H192"/>
  </mergeCells>
  <printOptions horizontalCentered="1"/>
  <pageMargins left="0.3937007874015748" right="0.3937007874015748" top="0.7480314960629921" bottom="0.5511811023622047" header="0" footer="0"/>
  <pageSetup firstPageNumber="81" useFirstPageNumber="1" horizontalDpi="300" verticalDpi="300" orientation="landscape" paperSize="9" r:id="rId1"/>
  <ignoredErrors>
    <ignoredError sqref="D59 D37 D39 D41 D43 D45 D51 D53 D55 D57" numberStoredAsText="1"/>
    <ignoredError sqref="Q69 S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showGridLines="0" tabSelected="1" zoomScaleSheetLayoutView="90" workbookViewId="0" topLeftCell="B148">
      <selection activeCell="O157" sqref="O157:P157"/>
    </sheetView>
  </sheetViews>
  <sheetFormatPr defaultColWidth="8.88671875" defaultRowHeight="13.5"/>
  <cols>
    <col min="1" max="1" width="2.6640625" style="2" hidden="1" customWidth="1"/>
    <col min="2" max="2" width="2.88671875" style="39" customWidth="1"/>
    <col min="3" max="3" width="3.6640625" style="39" customWidth="1"/>
    <col min="4" max="4" width="7.77734375" style="218" customWidth="1"/>
    <col min="5" max="5" width="7.99609375" style="93" customWidth="1"/>
    <col min="6" max="6" width="8.21484375" style="3" customWidth="1"/>
    <col min="7" max="7" width="7.6640625" style="3" customWidth="1"/>
    <col min="8" max="8" width="6.4453125" style="26" customWidth="1"/>
    <col min="9" max="9" width="10.5546875" style="129" customWidth="1"/>
    <col min="10" max="10" width="8.88671875" style="244" customWidth="1"/>
    <col min="11" max="11" width="5.88671875" style="129" customWidth="1"/>
    <col min="12" max="12" width="2.10546875" style="27" customWidth="1"/>
    <col min="13" max="13" width="9.99609375" style="319" customWidth="1"/>
    <col min="14" max="14" width="4.3359375" style="0" customWidth="1"/>
    <col min="15" max="15" width="6.99609375" style="0" customWidth="1"/>
    <col min="16" max="16" width="7.21484375" style="0" customWidth="1"/>
    <col min="17" max="17" width="6.88671875" style="0" customWidth="1"/>
    <col min="18" max="18" width="5.5546875" style="0" customWidth="1"/>
    <col min="19" max="19" width="6.5546875" style="0" customWidth="1"/>
    <col min="20" max="20" width="5.5546875" style="0" customWidth="1"/>
    <col min="21" max="21" width="1.77734375" style="0" customWidth="1"/>
    <col min="23" max="16384" width="8.88671875" style="2" customWidth="1"/>
  </cols>
  <sheetData>
    <row r="1" spans="14:22" ht="13.5">
      <c r="N1" s="2"/>
      <c r="O1" s="2"/>
      <c r="P1" s="2"/>
      <c r="Q1" s="2"/>
      <c r="R1" s="2"/>
      <c r="S1" s="2"/>
      <c r="T1" s="2"/>
      <c r="U1" s="2"/>
      <c r="V1" s="26"/>
    </row>
    <row r="2" spans="1:22" ht="33.75" customHeight="1">
      <c r="A2" s="690" t="s">
        <v>935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1"/>
      <c r="P2" s="691"/>
      <c r="Q2" s="691"/>
      <c r="R2" s="691"/>
      <c r="S2" s="691"/>
      <c r="T2" s="691"/>
      <c r="U2" s="2"/>
      <c r="V2" s="26"/>
    </row>
    <row r="3" spans="1:22" ht="16.5" customHeight="1">
      <c r="A3" s="1"/>
      <c r="B3" s="40"/>
      <c r="C3" s="40"/>
      <c r="E3" s="94"/>
      <c r="H3" s="3"/>
      <c r="L3" s="9"/>
      <c r="N3" s="393"/>
      <c r="O3" s="393"/>
      <c r="P3" s="393"/>
      <c r="Q3" s="393"/>
      <c r="R3" s="393"/>
      <c r="S3" s="675" t="s">
        <v>881</v>
      </c>
      <c r="T3" s="675"/>
      <c r="U3" s="2"/>
      <c r="V3" s="26"/>
    </row>
    <row r="4" spans="1:22" ht="26.25" customHeight="1">
      <c r="A4" s="1"/>
      <c r="B4" s="692" t="s">
        <v>264</v>
      </c>
      <c r="C4" s="693"/>
      <c r="D4" s="693"/>
      <c r="E4" s="704" t="s">
        <v>414</v>
      </c>
      <c r="F4" s="702" t="s">
        <v>374</v>
      </c>
      <c r="G4" s="676" t="s">
        <v>78</v>
      </c>
      <c r="H4" s="699"/>
      <c r="I4" s="697" t="s">
        <v>227</v>
      </c>
      <c r="J4" s="697"/>
      <c r="K4" s="697"/>
      <c r="L4" s="697"/>
      <c r="M4" s="697"/>
      <c r="N4" s="676" t="s">
        <v>882</v>
      </c>
      <c r="O4" s="676"/>
      <c r="P4" s="676"/>
      <c r="Q4" s="676"/>
      <c r="R4" s="676"/>
      <c r="S4" s="676"/>
      <c r="T4" s="677"/>
      <c r="U4" s="486"/>
      <c r="V4" s="487"/>
    </row>
    <row r="5" spans="1:22" ht="26.25" customHeight="1" thickBot="1">
      <c r="A5" s="1"/>
      <c r="B5" s="505" t="s">
        <v>74</v>
      </c>
      <c r="C5" s="506" t="s">
        <v>75</v>
      </c>
      <c r="D5" s="589" t="s">
        <v>76</v>
      </c>
      <c r="E5" s="701"/>
      <c r="F5" s="703"/>
      <c r="G5" s="357" t="s">
        <v>265</v>
      </c>
      <c r="H5" s="392" t="s">
        <v>73</v>
      </c>
      <c r="I5" s="698"/>
      <c r="J5" s="698"/>
      <c r="K5" s="698"/>
      <c r="L5" s="698"/>
      <c r="M5" s="698"/>
      <c r="N5" s="507" t="s">
        <v>883</v>
      </c>
      <c r="O5" s="507" t="s">
        <v>884</v>
      </c>
      <c r="P5" s="507" t="s">
        <v>885</v>
      </c>
      <c r="Q5" s="507" t="s">
        <v>886</v>
      </c>
      <c r="R5" s="507" t="s">
        <v>887</v>
      </c>
      <c r="S5" s="507" t="s">
        <v>899</v>
      </c>
      <c r="T5" s="508" t="s">
        <v>888</v>
      </c>
      <c r="U5" s="488"/>
      <c r="V5" s="489" t="s">
        <v>889</v>
      </c>
    </row>
    <row r="6" spans="1:22" ht="26.25" customHeight="1" thickBot="1" thickTop="1">
      <c r="A6" s="1"/>
      <c r="B6" s="694" t="s">
        <v>186</v>
      </c>
      <c r="C6" s="695"/>
      <c r="D6" s="696"/>
      <c r="E6" s="95">
        <f>E7+E251+E263+E417+E421+E425+E431+E435</f>
        <v>624644.406</v>
      </c>
      <c r="F6" s="95">
        <f>F7+F251+F263+F417+F421+F425+F431+F435</f>
        <v>668123</v>
      </c>
      <c r="G6" s="358">
        <f>E6-F6</f>
        <v>-43478.59400000004</v>
      </c>
      <c r="H6" s="359">
        <f>G6/F6</f>
        <v>-0.06507573306112803</v>
      </c>
      <c r="I6" s="181"/>
      <c r="J6" s="245"/>
      <c r="K6" s="130"/>
      <c r="L6" s="60"/>
      <c r="M6" s="529">
        <f>M7+M251+M263+M417+M421+M425+M431+M435</f>
        <v>624644.406</v>
      </c>
      <c r="N6" s="518">
        <f>N7+N92+N103+N117+N121+N125+N131+N135</f>
        <v>0</v>
      </c>
      <c r="O6" s="395">
        <f>O7+O251+O263+O417+O421+O425+O431+O435</f>
        <v>194147</v>
      </c>
      <c r="P6" s="395">
        <f>P7+P251+P263+P417+P421+P425+P431+P435</f>
        <v>220148</v>
      </c>
      <c r="Q6" s="395">
        <f>Q7+Q251+Q263+Q417+Q421+Q425+Q431+Q435</f>
        <v>148440</v>
      </c>
      <c r="R6" s="395">
        <f>R7+R251+R263+R435</f>
        <v>25000</v>
      </c>
      <c r="S6" s="395">
        <f>S7+S251+S263+S417+S421+S425+S431+S435</f>
        <v>35820</v>
      </c>
      <c r="T6" s="547">
        <f>T7+T251+T263+T417+T421+T425+T431+T435</f>
        <v>1089</v>
      </c>
      <c r="U6" s="488"/>
      <c r="V6" s="483">
        <f>SUM(N6:T6)</f>
        <v>624644</v>
      </c>
    </row>
    <row r="7" spans="2:22" ht="26.25" customHeight="1" thickTop="1">
      <c r="B7" s="685" t="s">
        <v>209</v>
      </c>
      <c r="C7" s="686"/>
      <c r="D7" s="687"/>
      <c r="E7" s="97">
        <f>E8+E184+E199</f>
        <v>390303.406</v>
      </c>
      <c r="F7" s="97">
        <f>F8+F184+F199</f>
        <v>382859</v>
      </c>
      <c r="G7" s="98">
        <f>E7-F7</f>
        <v>7444.406000000017</v>
      </c>
      <c r="H7" s="371">
        <f>G7/F7</f>
        <v>0.01944424971072906</v>
      </c>
      <c r="I7" s="182"/>
      <c r="J7" s="246"/>
      <c r="K7" s="131"/>
      <c r="L7" s="59"/>
      <c r="M7" s="440">
        <f>M8+M184+M199</f>
        <v>390303.406</v>
      </c>
      <c r="N7" s="519">
        <f>N8+N53+N64</f>
        <v>0</v>
      </c>
      <c r="O7" s="397">
        <f aca="true" t="shared" si="0" ref="O7:T7">O8+O184+O199</f>
        <v>144840</v>
      </c>
      <c r="P7" s="397">
        <f t="shared" si="0"/>
        <v>174842</v>
      </c>
      <c r="Q7" s="397">
        <f t="shared" si="0"/>
        <v>44362</v>
      </c>
      <c r="R7" s="397">
        <f t="shared" si="0"/>
        <v>19668</v>
      </c>
      <c r="S7" s="397">
        <f t="shared" si="0"/>
        <v>5502</v>
      </c>
      <c r="T7" s="548">
        <f t="shared" si="0"/>
        <v>1089</v>
      </c>
      <c r="U7" s="488"/>
      <c r="V7" s="501">
        <f aca="true" t="shared" si="1" ref="V7:V70">SUM(N7:T7)</f>
        <v>390303</v>
      </c>
    </row>
    <row r="8" spans="1:22" ht="26.25" customHeight="1">
      <c r="A8" s="56"/>
      <c r="B8" s="51"/>
      <c r="C8" s="705" t="s">
        <v>210</v>
      </c>
      <c r="D8" s="689"/>
      <c r="E8" s="99">
        <v>326939</v>
      </c>
      <c r="F8" s="99">
        <f>F9+F33+F80+F83+F135+F145+F167</f>
        <v>333793</v>
      </c>
      <c r="G8" s="315">
        <f>E8-F8</f>
        <v>-6854</v>
      </c>
      <c r="H8" s="368">
        <f>G8/F8</f>
        <v>-0.02053368404969547</v>
      </c>
      <c r="I8" s="183"/>
      <c r="J8" s="247"/>
      <c r="K8" s="132"/>
      <c r="L8" s="62"/>
      <c r="M8" s="441">
        <v>326939</v>
      </c>
      <c r="N8" s="520">
        <f>SUM(N10+N15+N19+N23+N28+N31+N41+N44+N50)</f>
        <v>0</v>
      </c>
      <c r="O8" s="99">
        <f aca="true" t="shared" si="2" ref="O8:T8">O9+O33+O81+O83+O135+O146+O168</f>
        <v>138450</v>
      </c>
      <c r="P8" s="99">
        <f t="shared" si="2"/>
        <v>168430</v>
      </c>
      <c r="Q8" s="99">
        <f t="shared" si="2"/>
        <v>3900</v>
      </c>
      <c r="R8" s="99">
        <f t="shared" si="2"/>
        <v>14809</v>
      </c>
      <c r="S8" s="99">
        <f t="shared" si="2"/>
        <v>261</v>
      </c>
      <c r="T8" s="481">
        <f t="shared" si="2"/>
        <v>1089</v>
      </c>
      <c r="U8" s="488"/>
      <c r="V8" s="503">
        <f>V9+V33+V81+V83+V135+V146+V168</f>
        <v>326939</v>
      </c>
    </row>
    <row r="9" spans="1:22" ht="26.25" customHeight="1">
      <c r="A9" s="56"/>
      <c r="B9" s="51"/>
      <c r="C9" s="576"/>
      <c r="D9" s="219" t="s">
        <v>172</v>
      </c>
      <c r="E9" s="103">
        <f>M9</f>
        <v>120072</v>
      </c>
      <c r="F9" s="104">
        <v>117030</v>
      </c>
      <c r="G9" s="104">
        <f>E9-F9</f>
        <v>3042</v>
      </c>
      <c r="H9" s="372">
        <f>G9/F9</f>
        <v>0.025993335042296846</v>
      </c>
      <c r="I9" s="240" t="s">
        <v>697</v>
      </c>
      <c r="J9" s="248"/>
      <c r="K9" s="133"/>
      <c r="L9" s="61"/>
      <c r="M9" s="530">
        <f>M11+M23+M27+M31</f>
        <v>120072</v>
      </c>
      <c r="N9" s="521"/>
      <c r="O9" s="500">
        <f>SUM(O11,O23,O27,O31)</f>
        <v>55158</v>
      </c>
      <c r="P9" s="500">
        <f>SUM(P11,P23,P27,P31)</f>
        <v>64914</v>
      </c>
      <c r="Q9" s="482"/>
      <c r="R9" s="482"/>
      <c r="S9" s="482"/>
      <c r="T9" s="549"/>
      <c r="U9" s="488"/>
      <c r="V9" s="502">
        <f t="shared" si="1"/>
        <v>120072</v>
      </c>
    </row>
    <row r="10" spans="1:22" ht="26.25" customHeight="1">
      <c r="A10" s="56"/>
      <c r="B10" s="51"/>
      <c r="C10" s="576"/>
      <c r="D10" s="220" t="s">
        <v>187</v>
      </c>
      <c r="E10" s="103"/>
      <c r="F10" s="104"/>
      <c r="G10" s="104"/>
      <c r="H10" s="372"/>
      <c r="I10" s="238"/>
      <c r="J10" s="258"/>
      <c r="K10" s="140"/>
      <c r="L10" s="28"/>
      <c r="M10" s="447"/>
      <c r="N10" s="417"/>
      <c r="O10" s="467"/>
      <c r="P10" s="415"/>
      <c r="Q10" s="415"/>
      <c r="R10" s="415"/>
      <c r="S10" s="415"/>
      <c r="T10" s="416"/>
      <c r="U10" s="488"/>
      <c r="V10" s="483">
        <f t="shared" si="1"/>
        <v>0</v>
      </c>
    </row>
    <row r="11" spans="1:22" ht="26.25" customHeight="1">
      <c r="A11" s="56"/>
      <c r="B11" s="51"/>
      <c r="C11" s="576"/>
      <c r="D11" s="220"/>
      <c r="E11" s="103"/>
      <c r="F11" s="104"/>
      <c r="G11" s="104"/>
      <c r="H11" s="372"/>
      <c r="I11" s="238" t="s">
        <v>696</v>
      </c>
      <c r="J11" s="249"/>
      <c r="K11" s="134"/>
      <c r="L11" s="54"/>
      <c r="M11" s="443">
        <f>SUM(M12:M21)</f>
        <v>76098</v>
      </c>
      <c r="N11" s="417"/>
      <c r="O11" s="406">
        <f>SUM(O12:O21)</f>
        <v>38049</v>
      </c>
      <c r="P11" s="406">
        <f>SUM(P12:P21)</f>
        <v>38049</v>
      </c>
      <c r="Q11" s="417"/>
      <c r="R11" s="415"/>
      <c r="S11" s="415"/>
      <c r="T11" s="416"/>
      <c r="U11" s="488"/>
      <c r="V11" s="483">
        <f t="shared" si="1"/>
        <v>76098</v>
      </c>
    </row>
    <row r="12" spans="1:22" ht="26.25" customHeight="1">
      <c r="A12" s="56"/>
      <c r="B12" s="51"/>
      <c r="C12" s="576"/>
      <c r="D12" s="56"/>
      <c r="E12" s="103"/>
      <c r="F12" s="104"/>
      <c r="G12" s="104"/>
      <c r="H12" s="372"/>
      <c r="I12" s="186" t="s">
        <v>385</v>
      </c>
      <c r="J12" s="250">
        <v>1590000</v>
      </c>
      <c r="K12" s="135" t="s">
        <v>384</v>
      </c>
      <c r="L12" s="49" t="s">
        <v>143</v>
      </c>
      <c r="M12" s="444">
        <v>9540</v>
      </c>
      <c r="N12" s="417"/>
      <c r="O12" s="415">
        <v>4770</v>
      </c>
      <c r="P12" s="415">
        <v>4770</v>
      </c>
      <c r="Q12" s="415"/>
      <c r="R12" s="415"/>
      <c r="S12" s="415"/>
      <c r="T12" s="416"/>
      <c r="U12" s="488"/>
      <c r="V12" s="483">
        <f t="shared" si="1"/>
        <v>9540</v>
      </c>
    </row>
    <row r="13" spans="1:22" ht="26.25" customHeight="1">
      <c r="A13" s="56"/>
      <c r="B13" s="51"/>
      <c r="C13" s="576"/>
      <c r="D13" s="220"/>
      <c r="E13" s="103"/>
      <c r="F13" s="104"/>
      <c r="G13" s="104"/>
      <c r="H13" s="372"/>
      <c r="I13" s="186" t="s">
        <v>386</v>
      </c>
      <c r="J13" s="250">
        <v>1622000</v>
      </c>
      <c r="K13" s="135" t="s">
        <v>384</v>
      </c>
      <c r="L13" s="49" t="s">
        <v>143</v>
      </c>
      <c r="M13" s="444">
        <v>9732</v>
      </c>
      <c r="N13" s="417"/>
      <c r="O13" s="415">
        <v>4866</v>
      </c>
      <c r="P13" s="415">
        <v>4866</v>
      </c>
      <c r="Q13" s="415"/>
      <c r="R13" s="415"/>
      <c r="S13" s="415"/>
      <c r="T13" s="416"/>
      <c r="U13" s="488"/>
      <c r="V13" s="483">
        <f t="shared" si="1"/>
        <v>9732</v>
      </c>
    </row>
    <row r="14" spans="1:22" ht="26.25" customHeight="1">
      <c r="A14" s="56"/>
      <c r="B14" s="51"/>
      <c r="C14" s="576"/>
      <c r="D14" s="220"/>
      <c r="E14" s="103"/>
      <c r="F14" s="104"/>
      <c r="G14" s="104"/>
      <c r="H14" s="372"/>
      <c r="I14" s="186" t="s">
        <v>655</v>
      </c>
      <c r="J14" s="250">
        <v>1313000</v>
      </c>
      <c r="K14" s="135" t="s">
        <v>411</v>
      </c>
      <c r="L14" s="49" t="s">
        <v>143</v>
      </c>
      <c r="M14" s="444">
        <v>15756</v>
      </c>
      <c r="N14" s="417"/>
      <c r="O14" s="415">
        <v>7878</v>
      </c>
      <c r="P14" s="415">
        <v>7878</v>
      </c>
      <c r="Q14" s="415"/>
      <c r="R14" s="415"/>
      <c r="S14" s="415"/>
      <c r="T14" s="416"/>
      <c r="U14" s="488"/>
      <c r="V14" s="483">
        <f t="shared" si="1"/>
        <v>15756</v>
      </c>
    </row>
    <row r="15" spans="1:22" ht="26.25" customHeight="1">
      <c r="A15" s="56"/>
      <c r="B15" s="51"/>
      <c r="C15" s="576"/>
      <c r="D15" s="220"/>
      <c r="E15" s="103"/>
      <c r="F15" s="104"/>
      <c r="G15" s="104"/>
      <c r="H15" s="372"/>
      <c r="I15" s="186" t="s">
        <v>652</v>
      </c>
      <c r="J15" s="250">
        <v>977000</v>
      </c>
      <c r="K15" s="135" t="s">
        <v>384</v>
      </c>
      <c r="L15" s="49" t="s">
        <v>143</v>
      </c>
      <c r="M15" s="444">
        <v>5862</v>
      </c>
      <c r="N15" s="417"/>
      <c r="O15" s="467">
        <v>2931</v>
      </c>
      <c r="P15" s="415">
        <v>2931</v>
      </c>
      <c r="Q15" s="415"/>
      <c r="R15" s="415"/>
      <c r="S15" s="415"/>
      <c r="T15" s="416"/>
      <c r="U15" s="488"/>
      <c r="V15" s="483">
        <f t="shared" si="1"/>
        <v>5862</v>
      </c>
    </row>
    <row r="16" spans="1:22" ht="26.25" customHeight="1">
      <c r="A16" s="56"/>
      <c r="B16" s="51"/>
      <c r="C16" s="576"/>
      <c r="D16" s="220"/>
      <c r="E16" s="103"/>
      <c r="F16" s="104"/>
      <c r="G16" s="104"/>
      <c r="H16" s="372"/>
      <c r="I16" s="186" t="s">
        <v>478</v>
      </c>
      <c r="J16" s="250">
        <v>995000</v>
      </c>
      <c r="K16" s="135" t="s">
        <v>384</v>
      </c>
      <c r="L16" s="49" t="s">
        <v>143</v>
      </c>
      <c r="M16" s="444">
        <v>5970</v>
      </c>
      <c r="N16" s="417"/>
      <c r="O16" s="415">
        <v>2985</v>
      </c>
      <c r="P16" s="415">
        <v>2985</v>
      </c>
      <c r="Q16" s="415"/>
      <c r="R16" s="415"/>
      <c r="S16" s="415"/>
      <c r="T16" s="416"/>
      <c r="U16" s="488"/>
      <c r="V16" s="483">
        <f t="shared" si="1"/>
        <v>5970</v>
      </c>
    </row>
    <row r="17" spans="1:22" ht="26.25" customHeight="1">
      <c r="A17" s="56"/>
      <c r="B17" s="51"/>
      <c r="C17" s="576"/>
      <c r="D17" s="220"/>
      <c r="E17" s="103"/>
      <c r="F17" s="104"/>
      <c r="G17" s="104"/>
      <c r="H17" s="372"/>
      <c r="I17" s="186" t="s">
        <v>653</v>
      </c>
      <c r="J17" s="250">
        <v>961000</v>
      </c>
      <c r="K17" s="135" t="s">
        <v>384</v>
      </c>
      <c r="L17" s="49" t="s">
        <v>143</v>
      </c>
      <c r="M17" s="444">
        <v>5766</v>
      </c>
      <c r="N17" s="417"/>
      <c r="O17" s="415">
        <v>2883</v>
      </c>
      <c r="P17" s="415">
        <v>2883</v>
      </c>
      <c r="Q17" s="415"/>
      <c r="R17" s="415"/>
      <c r="S17" s="415"/>
      <c r="T17" s="416"/>
      <c r="U17" s="488"/>
      <c r="V17" s="483">
        <f t="shared" si="1"/>
        <v>5766</v>
      </c>
    </row>
    <row r="18" spans="1:22" ht="26.25" customHeight="1">
      <c r="A18" s="56"/>
      <c r="B18" s="51"/>
      <c r="C18" s="576"/>
      <c r="D18" s="220"/>
      <c r="E18" s="103"/>
      <c r="F18" s="104"/>
      <c r="G18" s="104"/>
      <c r="H18" s="372"/>
      <c r="I18" s="186" t="s">
        <v>387</v>
      </c>
      <c r="J18" s="250">
        <v>977000</v>
      </c>
      <c r="K18" s="135" t="s">
        <v>384</v>
      </c>
      <c r="L18" s="49" t="s">
        <v>143</v>
      </c>
      <c r="M18" s="444">
        <v>5862</v>
      </c>
      <c r="N18" s="417"/>
      <c r="O18" s="415">
        <v>2931</v>
      </c>
      <c r="P18" s="415">
        <v>2931</v>
      </c>
      <c r="Q18" s="415"/>
      <c r="R18" s="415"/>
      <c r="S18" s="415"/>
      <c r="T18" s="416"/>
      <c r="U18" s="488"/>
      <c r="V18" s="483">
        <f t="shared" si="1"/>
        <v>5862</v>
      </c>
    </row>
    <row r="19" spans="1:22" ht="26.25" customHeight="1">
      <c r="A19" s="56"/>
      <c r="B19" s="52"/>
      <c r="C19" s="577"/>
      <c r="D19" s="223"/>
      <c r="E19" s="109"/>
      <c r="F19" s="110"/>
      <c r="G19" s="110"/>
      <c r="H19" s="374"/>
      <c r="I19" s="193" t="s">
        <v>388</v>
      </c>
      <c r="J19" s="261">
        <v>737000</v>
      </c>
      <c r="K19" s="139" t="s">
        <v>384</v>
      </c>
      <c r="L19" s="50" t="s">
        <v>143</v>
      </c>
      <c r="M19" s="461">
        <v>4422</v>
      </c>
      <c r="N19" s="550"/>
      <c r="O19" s="634">
        <v>2211</v>
      </c>
      <c r="P19" s="432">
        <v>2211</v>
      </c>
      <c r="Q19" s="432"/>
      <c r="R19" s="432"/>
      <c r="S19" s="432"/>
      <c r="T19" s="433"/>
      <c r="U19" s="488"/>
      <c r="V19" s="483">
        <f t="shared" si="1"/>
        <v>4422</v>
      </c>
    </row>
    <row r="20" spans="1:22" ht="26.25" customHeight="1">
      <c r="A20" s="56"/>
      <c r="B20" s="57"/>
      <c r="C20" s="578"/>
      <c r="D20" s="303"/>
      <c r="E20" s="304"/>
      <c r="F20" s="305"/>
      <c r="G20" s="305"/>
      <c r="H20" s="375"/>
      <c r="I20" s="306" t="s">
        <v>389</v>
      </c>
      <c r="J20" s="307">
        <v>756000</v>
      </c>
      <c r="K20" s="309" t="s">
        <v>384</v>
      </c>
      <c r="L20" s="242" t="s">
        <v>143</v>
      </c>
      <c r="M20" s="514">
        <v>4536</v>
      </c>
      <c r="N20" s="515"/>
      <c r="O20" s="469">
        <v>2268</v>
      </c>
      <c r="P20" s="469">
        <v>2268</v>
      </c>
      <c r="Q20" s="469"/>
      <c r="R20" s="469"/>
      <c r="S20" s="469"/>
      <c r="T20" s="470"/>
      <c r="U20" s="488"/>
      <c r="V20" s="483">
        <f t="shared" si="1"/>
        <v>4536</v>
      </c>
    </row>
    <row r="21" spans="1:22" ht="26.25" customHeight="1">
      <c r="A21" s="56"/>
      <c r="B21" s="51"/>
      <c r="C21" s="576"/>
      <c r="D21" s="220"/>
      <c r="E21" s="103"/>
      <c r="F21" s="104"/>
      <c r="G21" s="104"/>
      <c r="H21" s="372"/>
      <c r="I21" s="186" t="s">
        <v>390</v>
      </c>
      <c r="J21" s="250">
        <v>721000</v>
      </c>
      <c r="K21" s="135" t="s">
        <v>391</v>
      </c>
      <c r="L21" s="49" t="s">
        <v>143</v>
      </c>
      <c r="M21" s="444">
        <v>8652</v>
      </c>
      <c r="N21" s="417"/>
      <c r="O21" s="415">
        <v>4326</v>
      </c>
      <c r="P21" s="415">
        <v>4326</v>
      </c>
      <c r="Q21" s="415"/>
      <c r="R21" s="415"/>
      <c r="S21" s="415"/>
      <c r="T21" s="416"/>
      <c r="U21" s="488"/>
      <c r="V21" s="483">
        <f t="shared" si="1"/>
        <v>8652</v>
      </c>
    </row>
    <row r="22" spans="1:22" ht="26.25" customHeight="1">
      <c r="A22" s="56"/>
      <c r="B22" s="51"/>
      <c r="C22" s="576"/>
      <c r="D22" s="220"/>
      <c r="E22" s="103"/>
      <c r="F22" s="104"/>
      <c r="G22" s="104"/>
      <c r="H22" s="372"/>
      <c r="I22" s="238"/>
      <c r="J22" s="251"/>
      <c r="K22" s="136"/>
      <c r="L22" s="55"/>
      <c r="M22" s="442"/>
      <c r="N22" s="417"/>
      <c r="O22" s="415"/>
      <c r="P22" s="415"/>
      <c r="Q22" s="415"/>
      <c r="R22" s="415"/>
      <c r="S22" s="415"/>
      <c r="T22" s="416"/>
      <c r="U22" s="488"/>
      <c r="V22" s="483">
        <f t="shared" si="1"/>
        <v>0</v>
      </c>
    </row>
    <row r="23" spans="1:22" ht="26.25" customHeight="1">
      <c r="A23" s="56"/>
      <c r="B23" s="51"/>
      <c r="C23" s="576"/>
      <c r="D23" s="220"/>
      <c r="E23" s="103"/>
      <c r="F23" s="104"/>
      <c r="G23" s="104"/>
      <c r="H23" s="372"/>
      <c r="I23" s="238" t="s">
        <v>382</v>
      </c>
      <c r="J23" s="249"/>
      <c r="K23" s="134"/>
      <c r="L23" s="54"/>
      <c r="M23" s="443">
        <f>SUM(M24:M25)</f>
        <v>24636</v>
      </c>
      <c r="N23" s="417"/>
      <c r="O23" s="406">
        <f>SUM(O24:O25)</f>
        <v>12318</v>
      </c>
      <c r="P23" s="406">
        <f>SUM(P24:P25)</f>
        <v>12318</v>
      </c>
      <c r="Q23" s="415"/>
      <c r="R23" s="415"/>
      <c r="S23" s="415"/>
      <c r="T23" s="416"/>
      <c r="U23" s="488"/>
      <c r="V23" s="483">
        <f t="shared" si="1"/>
        <v>24636</v>
      </c>
    </row>
    <row r="24" spans="1:22" ht="26.25" customHeight="1">
      <c r="A24" s="56"/>
      <c r="B24" s="51"/>
      <c r="C24" s="576"/>
      <c r="D24" s="220"/>
      <c r="E24" s="103"/>
      <c r="F24" s="104"/>
      <c r="G24" s="104"/>
      <c r="H24" s="372"/>
      <c r="I24" s="186" t="s">
        <v>477</v>
      </c>
      <c r="J24" s="250">
        <v>1297000</v>
      </c>
      <c r="K24" s="135" t="s">
        <v>411</v>
      </c>
      <c r="L24" s="49" t="s">
        <v>143</v>
      </c>
      <c r="M24" s="444">
        <v>15564</v>
      </c>
      <c r="N24" s="417"/>
      <c r="O24" s="406">
        <v>7782</v>
      </c>
      <c r="P24" s="406">
        <v>7782</v>
      </c>
      <c r="Q24" s="415"/>
      <c r="R24" s="415"/>
      <c r="S24" s="415"/>
      <c r="T24" s="416"/>
      <c r="U24" s="488"/>
      <c r="V24" s="483">
        <f t="shared" si="1"/>
        <v>15564</v>
      </c>
    </row>
    <row r="25" spans="1:22" ht="26.25" customHeight="1">
      <c r="A25" s="56"/>
      <c r="B25" s="51"/>
      <c r="C25" s="576"/>
      <c r="D25" s="220"/>
      <c r="E25" s="103"/>
      <c r="F25" s="104"/>
      <c r="G25" s="104"/>
      <c r="H25" s="372"/>
      <c r="I25" s="186" t="s">
        <v>650</v>
      </c>
      <c r="J25" s="250">
        <v>756000</v>
      </c>
      <c r="K25" s="135" t="s">
        <v>411</v>
      </c>
      <c r="L25" s="49" t="s">
        <v>143</v>
      </c>
      <c r="M25" s="444">
        <v>9072</v>
      </c>
      <c r="N25" s="417"/>
      <c r="O25" s="415">
        <v>4536</v>
      </c>
      <c r="P25" s="415">
        <v>4536</v>
      </c>
      <c r="Q25" s="415"/>
      <c r="R25" s="415"/>
      <c r="S25" s="415"/>
      <c r="T25" s="416"/>
      <c r="U25" s="488"/>
      <c r="V25" s="483">
        <f t="shared" si="1"/>
        <v>9072</v>
      </c>
    </row>
    <row r="26" spans="1:22" ht="26.25" customHeight="1">
      <c r="A26" s="56"/>
      <c r="B26" s="51"/>
      <c r="C26" s="576"/>
      <c r="D26" s="220"/>
      <c r="E26" s="103"/>
      <c r="F26" s="104"/>
      <c r="G26" s="104"/>
      <c r="H26" s="372"/>
      <c r="I26" s="238"/>
      <c r="J26" s="251"/>
      <c r="K26" s="136"/>
      <c r="L26" s="55"/>
      <c r="M26" s="442"/>
      <c r="N26" s="417"/>
      <c r="O26" s="415"/>
      <c r="P26" s="415"/>
      <c r="Q26" s="415"/>
      <c r="R26" s="415"/>
      <c r="S26" s="415"/>
      <c r="T26" s="416"/>
      <c r="U26" s="488"/>
      <c r="V26" s="483">
        <f t="shared" si="1"/>
        <v>0</v>
      </c>
    </row>
    <row r="27" spans="1:22" ht="26.25" customHeight="1">
      <c r="A27" s="56"/>
      <c r="B27" s="51"/>
      <c r="C27" s="576"/>
      <c r="D27" s="220"/>
      <c r="E27" s="103"/>
      <c r="F27" s="104"/>
      <c r="G27" s="104"/>
      <c r="H27" s="372"/>
      <c r="I27" s="239" t="s">
        <v>498</v>
      </c>
      <c r="J27" s="249"/>
      <c r="K27" s="134"/>
      <c r="L27" s="54"/>
      <c r="M27" s="443">
        <f>SUM(M28:M29)</f>
        <v>9582</v>
      </c>
      <c r="N27" s="417"/>
      <c r="O27" s="406">
        <f>SUM(O28:O29)</f>
        <v>4791</v>
      </c>
      <c r="P27" s="406">
        <f>SUM(P28:P29)</f>
        <v>4791</v>
      </c>
      <c r="Q27" s="415"/>
      <c r="R27" s="415"/>
      <c r="S27" s="415"/>
      <c r="T27" s="416"/>
      <c r="U27" s="488"/>
      <c r="V27" s="483">
        <f t="shared" si="1"/>
        <v>9582</v>
      </c>
    </row>
    <row r="28" spans="1:22" ht="26.25" customHeight="1">
      <c r="A28" s="56"/>
      <c r="B28" s="51"/>
      <c r="C28" s="576"/>
      <c r="D28" s="220"/>
      <c r="E28" s="103"/>
      <c r="F28" s="104"/>
      <c r="G28" s="104"/>
      <c r="H28" s="372"/>
      <c r="I28" s="185" t="s">
        <v>492</v>
      </c>
      <c r="J28" s="249">
        <v>784000</v>
      </c>
      <c r="K28" s="134" t="s">
        <v>384</v>
      </c>
      <c r="L28" s="54" t="s">
        <v>143</v>
      </c>
      <c r="M28" s="443">
        <v>4704</v>
      </c>
      <c r="N28" s="425"/>
      <c r="O28" s="406">
        <v>2352</v>
      </c>
      <c r="P28" s="406">
        <v>2352</v>
      </c>
      <c r="Q28" s="406"/>
      <c r="R28" s="406"/>
      <c r="S28" s="406"/>
      <c r="T28" s="407"/>
      <c r="U28" s="488"/>
      <c r="V28" s="483">
        <f t="shared" si="1"/>
        <v>4704</v>
      </c>
    </row>
    <row r="29" spans="1:22" ht="26.25" customHeight="1">
      <c r="A29" s="56"/>
      <c r="B29" s="51"/>
      <c r="C29" s="576"/>
      <c r="D29" s="220"/>
      <c r="E29" s="103"/>
      <c r="F29" s="104"/>
      <c r="G29" s="104"/>
      <c r="H29" s="372"/>
      <c r="I29" s="186" t="s">
        <v>495</v>
      </c>
      <c r="J29" s="250">
        <v>813000</v>
      </c>
      <c r="K29" s="135" t="s">
        <v>384</v>
      </c>
      <c r="L29" s="49" t="s">
        <v>143</v>
      </c>
      <c r="M29" s="444">
        <v>4878</v>
      </c>
      <c r="N29" s="417"/>
      <c r="O29" s="415">
        <v>2439</v>
      </c>
      <c r="P29" s="415">
        <v>2439</v>
      </c>
      <c r="Q29" s="415"/>
      <c r="R29" s="415"/>
      <c r="S29" s="415"/>
      <c r="T29" s="416"/>
      <c r="U29" s="488"/>
      <c r="V29" s="483">
        <f t="shared" si="1"/>
        <v>4878</v>
      </c>
    </row>
    <row r="30" spans="1:22" ht="26.25" customHeight="1">
      <c r="A30" s="56"/>
      <c r="B30" s="51"/>
      <c r="C30" s="576"/>
      <c r="D30" s="220"/>
      <c r="E30" s="103"/>
      <c r="F30" s="104"/>
      <c r="G30" s="104"/>
      <c r="H30" s="372"/>
      <c r="I30" s="238"/>
      <c r="J30" s="251"/>
      <c r="K30" s="136"/>
      <c r="L30" s="55"/>
      <c r="M30" s="442"/>
      <c r="N30" s="417"/>
      <c r="O30" s="415"/>
      <c r="P30" s="415"/>
      <c r="Q30" s="415"/>
      <c r="R30" s="415"/>
      <c r="S30" s="415"/>
      <c r="T30" s="416"/>
      <c r="U30" s="488"/>
      <c r="V30" s="483">
        <f t="shared" si="1"/>
        <v>0</v>
      </c>
    </row>
    <row r="31" spans="1:22" ht="26.25" customHeight="1">
      <c r="A31" s="56"/>
      <c r="B31" s="51"/>
      <c r="C31" s="576"/>
      <c r="D31" s="220"/>
      <c r="E31" s="103"/>
      <c r="F31" s="104"/>
      <c r="G31" s="104"/>
      <c r="H31" s="372"/>
      <c r="I31" s="238" t="s">
        <v>757</v>
      </c>
      <c r="J31" s="249"/>
      <c r="K31" s="134"/>
      <c r="L31" s="54"/>
      <c r="M31" s="443">
        <f>SUM(M32:M32)</f>
        <v>9756</v>
      </c>
      <c r="N31" s="417"/>
      <c r="O31" s="406">
        <f>SUM(O32)</f>
        <v>0</v>
      </c>
      <c r="P31" s="406">
        <f>SUM(P32)</f>
        <v>9756</v>
      </c>
      <c r="Q31" s="415"/>
      <c r="R31" s="415"/>
      <c r="S31" s="415"/>
      <c r="T31" s="551"/>
      <c r="U31" s="488"/>
      <c r="V31" s="483">
        <f t="shared" si="1"/>
        <v>9756</v>
      </c>
    </row>
    <row r="32" spans="1:22" ht="26.25" customHeight="1">
      <c r="A32" s="56"/>
      <c r="B32" s="51"/>
      <c r="C32" s="576"/>
      <c r="D32" s="220"/>
      <c r="E32" s="103"/>
      <c r="F32" s="104"/>
      <c r="G32" s="106"/>
      <c r="H32" s="376"/>
      <c r="I32" s="186" t="s">
        <v>519</v>
      </c>
      <c r="J32" s="250">
        <v>813000</v>
      </c>
      <c r="K32" s="135" t="s">
        <v>391</v>
      </c>
      <c r="L32" s="49" t="s">
        <v>143</v>
      </c>
      <c r="M32" s="444">
        <v>9756</v>
      </c>
      <c r="N32" s="417"/>
      <c r="O32" s="415">
        <v>0</v>
      </c>
      <c r="P32" s="415">
        <v>9756</v>
      </c>
      <c r="Q32" s="415"/>
      <c r="R32" s="415"/>
      <c r="S32" s="415"/>
      <c r="T32" s="416"/>
      <c r="U32" s="488"/>
      <c r="V32" s="483">
        <f t="shared" si="1"/>
        <v>9756</v>
      </c>
    </row>
    <row r="33" spans="1:22" ht="26.25" customHeight="1">
      <c r="A33" s="56"/>
      <c r="B33" s="51"/>
      <c r="C33" s="576"/>
      <c r="D33" s="222" t="s">
        <v>188</v>
      </c>
      <c r="E33" s="101">
        <f>M33</f>
        <v>57643.4</v>
      </c>
      <c r="F33" s="102">
        <v>55650</v>
      </c>
      <c r="G33" s="104">
        <f>E33-F33</f>
        <v>1993.4000000000015</v>
      </c>
      <c r="H33" s="372">
        <f>G33/F33</f>
        <v>0.035820305480682865</v>
      </c>
      <c r="I33" s="279" t="s">
        <v>698</v>
      </c>
      <c r="J33" s="251"/>
      <c r="K33" s="136"/>
      <c r="L33" s="55"/>
      <c r="M33" s="531">
        <f>M35+M47+M51+M55+M58+M70+M74+M78</f>
        <v>57643.4</v>
      </c>
      <c r="N33" s="417"/>
      <c r="O33" s="499">
        <f>SUM(O35,O47,O51,O55,O58,O70,O74,O78)</f>
        <v>26547</v>
      </c>
      <c r="P33" s="499">
        <f>SUM(P35,P47,P51,P55,P58,P70,P74,P78)</f>
        <v>31096</v>
      </c>
      <c r="Q33" s="415"/>
      <c r="R33" s="415"/>
      <c r="S33" s="415"/>
      <c r="T33" s="416"/>
      <c r="U33" s="488"/>
      <c r="V33" s="483">
        <f t="shared" si="1"/>
        <v>57643</v>
      </c>
    </row>
    <row r="34" spans="1:22" ht="26.25" customHeight="1">
      <c r="A34" s="56"/>
      <c r="B34" s="51"/>
      <c r="C34" s="576"/>
      <c r="D34" s="220" t="s">
        <v>189</v>
      </c>
      <c r="E34" s="103"/>
      <c r="F34" s="104"/>
      <c r="G34" s="104"/>
      <c r="H34" s="372"/>
      <c r="I34" s="238"/>
      <c r="J34" s="258"/>
      <c r="K34" s="140"/>
      <c r="L34" s="28"/>
      <c r="M34" s="447"/>
      <c r="N34" s="417"/>
      <c r="O34" s="415"/>
      <c r="P34" s="415"/>
      <c r="Q34" s="415"/>
      <c r="R34" s="415"/>
      <c r="S34" s="415"/>
      <c r="T34" s="416"/>
      <c r="U34" s="488"/>
      <c r="V34" s="483">
        <f t="shared" si="1"/>
        <v>0</v>
      </c>
    </row>
    <row r="35" spans="1:22" ht="26.25" customHeight="1">
      <c r="A35" s="56"/>
      <c r="B35" s="52"/>
      <c r="C35" s="577"/>
      <c r="D35" s="223"/>
      <c r="E35" s="109"/>
      <c r="F35" s="110"/>
      <c r="G35" s="110"/>
      <c r="H35" s="374"/>
      <c r="I35" s="544" t="s">
        <v>699</v>
      </c>
      <c r="J35" s="272"/>
      <c r="K35" s="546"/>
      <c r="L35" s="308"/>
      <c r="M35" s="448">
        <f>SUM(M36:M45)</f>
        <v>11428</v>
      </c>
      <c r="N35" s="550"/>
      <c r="O35" s="432">
        <f>SUM(O36:O45)</f>
        <v>5716</v>
      </c>
      <c r="P35" s="432">
        <f>SUM(P36:P45)</f>
        <v>5712</v>
      </c>
      <c r="Q35" s="432"/>
      <c r="R35" s="432"/>
      <c r="S35" s="432"/>
      <c r="T35" s="433"/>
      <c r="U35" s="488"/>
      <c r="V35" s="483">
        <f>SUM(N35:T35)</f>
        <v>11428</v>
      </c>
    </row>
    <row r="36" spans="1:22" ht="26.25" customHeight="1">
      <c r="A36" s="56"/>
      <c r="B36" s="57"/>
      <c r="C36" s="578"/>
      <c r="D36" s="231"/>
      <c r="E36" s="304"/>
      <c r="F36" s="305"/>
      <c r="G36" s="305"/>
      <c r="H36" s="375"/>
      <c r="I36" s="306" t="s">
        <v>385</v>
      </c>
      <c r="J36" s="307">
        <v>1590000</v>
      </c>
      <c r="K36" s="309" t="s">
        <v>392</v>
      </c>
      <c r="L36" s="242" t="s">
        <v>143</v>
      </c>
      <c r="M36" s="514">
        <v>1590</v>
      </c>
      <c r="N36" s="515"/>
      <c r="O36" s="469">
        <v>795</v>
      </c>
      <c r="P36" s="469">
        <v>795</v>
      </c>
      <c r="Q36" s="469"/>
      <c r="R36" s="469"/>
      <c r="S36" s="469"/>
      <c r="T36" s="470"/>
      <c r="U36" s="488"/>
      <c r="V36" s="483">
        <f t="shared" si="1"/>
        <v>1590</v>
      </c>
    </row>
    <row r="37" spans="1:22" ht="26.25" customHeight="1">
      <c r="A37" s="56"/>
      <c r="B37" s="51"/>
      <c r="C37" s="576"/>
      <c r="D37" s="225"/>
      <c r="E37" s="103"/>
      <c r="F37" s="104"/>
      <c r="G37" s="104"/>
      <c r="H37" s="372"/>
      <c r="I37" s="186" t="s">
        <v>386</v>
      </c>
      <c r="J37" s="250">
        <v>1622000</v>
      </c>
      <c r="K37" s="135" t="s">
        <v>392</v>
      </c>
      <c r="L37" s="49" t="s">
        <v>143</v>
      </c>
      <c r="M37" s="444">
        <v>1622</v>
      </c>
      <c r="N37" s="417"/>
      <c r="O37" s="415">
        <v>811</v>
      </c>
      <c r="P37" s="415">
        <v>811</v>
      </c>
      <c r="Q37" s="415"/>
      <c r="R37" s="415"/>
      <c r="S37" s="415"/>
      <c r="T37" s="416"/>
      <c r="U37" s="488"/>
      <c r="V37" s="483">
        <f t="shared" si="1"/>
        <v>1622</v>
      </c>
    </row>
    <row r="38" spans="1:22" ht="26.25" customHeight="1">
      <c r="A38" s="56"/>
      <c r="B38" s="51"/>
      <c r="C38" s="576"/>
      <c r="D38" s="225"/>
      <c r="E38" s="103"/>
      <c r="F38" s="104"/>
      <c r="G38" s="104"/>
      <c r="H38" s="372"/>
      <c r="I38" s="186" t="s">
        <v>655</v>
      </c>
      <c r="J38" s="250">
        <v>1313000</v>
      </c>
      <c r="K38" s="135" t="s">
        <v>480</v>
      </c>
      <c r="L38" s="49" t="s">
        <v>143</v>
      </c>
      <c r="M38" s="444">
        <v>2626</v>
      </c>
      <c r="N38" s="417"/>
      <c r="O38" s="415">
        <v>1313</v>
      </c>
      <c r="P38" s="415">
        <v>1313</v>
      </c>
      <c r="Q38" s="415"/>
      <c r="R38" s="415"/>
      <c r="S38" s="415"/>
      <c r="T38" s="416"/>
      <c r="U38" s="488"/>
      <c r="V38" s="483">
        <f t="shared" si="1"/>
        <v>2626</v>
      </c>
    </row>
    <row r="39" spans="1:22" ht="26.25" customHeight="1">
      <c r="A39" s="56"/>
      <c r="B39" s="51"/>
      <c r="C39" s="576"/>
      <c r="D39" s="225"/>
      <c r="E39" s="103"/>
      <c r="F39" s="104"/>
      <c r="G39" s="104"/>
      <c r="H39" s="372"/>
      <c r="I39" s="186" t="s">
        <v>652</v>
      </c>
      <c r="J39" s="250">
        <v>977000</v>
      </c>
      <c r="K39" s="135" t="s">
        <v>481</v>
      </c>
      <c r="L39" s="49" t="s">
        <v>143</v>
      </c>
      <c r="M39" s="444">
        <v>928</v>
      </c>
      <c r="N39" s="417"/>
      <c r="O39" s="415">
        <v>464</v>
      </c>
      <c r="P39" s="415">
        <v>464</v>
      </c>
      <c r="Q39" s="415"/>
      <c r="R39" s="415"/>
      <c r="S39" s="415"/>
      <c r="T39" s="416"/>
      <c r="U39" s="488"/>
      <c r="V39" s="483">
        <f t="shared" si="1"/>
        <v>928</v>
      </c>
    </row>
    <row r="40" spans="1:22" ht="26.25" customHeight="1">
      <c r="A40" s="56"/>
      <c r="B40" s="51"/>
      <c r="C40" s="576"/>
      <c r="D40" s="225"/>
      <c r="E40" s="103"/>
      <c r="F40" s="104"/>
      <c r="G40" s="104"/>
      <c r="H40" s="372"/>
      <c r="I40" s="186" t="s">
        <v>478</v>
      </c>
      <c r="J40" s="250">
        <v>995000</v>
      </c>
      <c r="K40" s="135" t="s">
        <v>654</v>
      </c>
      <c r="L40" s="49" t="s">
        <v>143</v>
      </c>
      <c r="M40" s="444">
        <v>995</v>
      </c>
      <c r="N40" s="417"/>
      <c r="O40" s="415">
        <v>498</v>
      </c>
      <c r="P40" s="415">
        <v>497</v>
      </c>
      <c r="Q40" s="415"/>
      <c r="R40" s="415"/>
      <c r="S40" s="415"/>
      <c r="T40" s="416"/>
      <c r="U40" s="488"/>
      <c r="V40" s="483">
        <f t="shared" si="1"/>
        <v>995</v>
      </c>
    </row>
    <row r="41" spans="1:22" ht="26.25" customHeight="1">
      <c r="A41" s="56"/>
      <c r="B41" s="51"/>
      <c r="C41" s="576"/>
      <c r="D41" s="225"/>
      <c r="E41" s="103"/>
      <c r="F41" s="104"/>
      <c r="G41" s="104"/>
      <c r="H41" s="372"/>
      <c r="I41" s="186" t="s">
        <v>653</v>
      </c>
      <c r="J41" s="250">
        <v>961000</v>
      </c>
      <c r="K41" s="135" t="s">
        <v>393</v>
      </c>
      <c r="L41" s="49" t="s">
        <v>143</v>
      </c>
      <c r="M41" s="444">
        <v>865</v>
      </c>
      <c r="N41" s="417"/>
      <c r="O41" s="415">
        <v>433</v>
      </c>
      <c r="P41" s="415">
        <v>432</v>
      </c>
      <c r="Q41" s="415"/>
      <c r="R41" s="415"/>
      <c r="S41" s="415"/>
      <c r="T41" s="416"/>
      <c r="U41" s="488"/>
      <c r="V41" s="483">
        <f t="shared" si="1"/>
        <v>865</v>
      </c>
    </row>
    <row r="42" spans="1:22" ht="26.25" customHeight="1">
      <c r="A42" s="56"/>
      <c r="B42" s="51"/>
      <c r="C42" s="576"/>
      <c r="D42" s="225"/>
      <c r="E42" s="103"/>
      <c r="F42" s="104"/>
      <c r="G42" s="104"/>
      <c r="H42" s="372"/>
      <c r="I42" s="186" t="s">
        <v>387</v>
      </c>
      <c r="J42" s="250">
        <v>977000</v>
      </c>
      <c r="K42" s="135" t="s">
        <v>394</v>
      </c>
      <c r="L42" s="49" t="s">
        <v>143</v>
      </c>
      <c r="M42" s="444">
        <v>928</v>
      </c>
      <c r="N42" s="417"/>
      <c r="O42" s="415">
        <v>464</v>
      </c>
      <c r="P42" s="415">
        <v>464</v>
      </c>
      <c r="Q42" s="415"/>
      <c r="R42" s="415"/>
      <c r="S42" s="415"/>
      <c r="T42" s="416"/>
      <c r="U42" s="488"/>
      <c r="V42" s="483">
        <f t="shared" si="1"/>
        <v>928</v>
      </c>
    </row>
    <row r="43" spans="1:22" ht="26.25" customHeight="1">
      <c r="A43" s="56"/>
      <c r="B43" s="51"/>
      <c r="C43" s="576"/>
      <c r="D43" s="225"/>
      <c r="E43" s="103"/>
      <c r="F43" s="104"/>
      <c r="G43" s="104"/>
      <c r="H43" s="372"/>
      <c r="I43" s="186" t="s">
        <v>388</v>
      </c>
      <c r="J43" s="250">
        <v>737000</v>
      </c>
      <c r="K43" s="135" t="s">
        <v>395</v>
      </c>
      <c r="L43" s="49" t="s">
        <v>143</v>
      </c>
      <c r="M43" s="444">
        <v>479</v>
      </c>
      <c r="N43" s="417"/>
      <c r="O43" s="415">
        <v>240</v>
      </c>
      <c r="P43" s="415">
        <v>239</v>
      </c>
      <c r="Q43" s="415"/>
      <c r="R43" s="415"/>
      <c r="S43" s="415"/>
      <c r="T43" s="416"/>
      <c r="U43" s="488"/>
      <c r="V43" s="483">
        <f t="shared" si="1"/>
        <v>479</v>
      </c>
    </row>
    <row r="44" spans="1:22" ht="26.25" customHeight="1">
      <c r="A44" s="56"/>
      <c r="B44" s="51"/>
      <c r="C44" s="576"/>
      <c r="D44" s="225"/>
      <c r="E44" s="103"/>
      <c r="F44" s="104"/>
      <c r="G44" s="104"/>
      <c r="H44" s="372"/>
      <c r="I44" s="186" t="s">
        <v>656</v>
      </c>
      <c r="J44" s="250">
        <v>756000</v>
      </c>
      <c r="K44" s="135" t="s">
        <v>657</v>
      </c>
      <c r="L44" s="49" t="s">
        <v>143</v>
      </c>
      <c r="M44" s="444">
        <v>529</v>
      </c>
      <c r="N44" s="417"/>
      <c r="O44" s="415">
        <v>265</v>
      </c>
      <c r="P44" s="415">
        <v>264</v>
      </c>
      <c r="Q44" s="415"/>
      <c r="R44" s="415"/>
      <c r="S44" s="415"/>
      <c r="T44" s="416"/>
      <c r="U44" s="488"/>
      <c r="V44" s="483">
        <f t="shared" si="1"/>
        <v>529</v>
      </c>
    </row>
    <row r="45" spans="1:22" ht="26.25" customHeight="1">
      <c r="A45" s="56"/>
      <c r="B45" s="51"/>
      <c r="C45" s="576"/>
      <c r="D45" s="225"/>
      <c r="E45" s="103"/>
      <c r="F45" s="104"/>
      <c r="G45" s="104"/>
      <c r="H45" s="372"/>
      <c r="I45" s="186" t="s">
        <v>390</v>
      </c>
      <c r="J45" s="250">
        <v>721000</v>
      </c>
      <c r="K45" s="135" t="s">
        <v>397</v>
      </c>
      <c r="L45" s="49" t="s">
        <v>143</v>
      </c>
      <c r="M45" s="444">
        <v>866</v>
      </c>
      <c r="N45" s="417"/>
      <c r="O45" s="415">
        <v>433</v>
      </c>
      <c r="P45" s="415">
        <v>433</v>
      </c>
      <c r="Q45" s="415"/>
      <c r="R45" s="415"/>
      <c r="S45" s="415"/>
      <c r="T45" s="416"/>
      <c r="U45" s="488"/>
      <c r="V45" s="483">
        <f t="shared" si="1"/>
        <v>866</v>
      </c>
    </row>
    <row r="46" spans="1:22" ht="26.25" customHeight="1">
      <c r="A46" s="56"/>
      <c r="B46" s="51"/>
      <c r="C46" s="576"/>
      <c r="D46" s="225"/>
      <c r="E46" s="103"/>
      <c r="F46" s="104"/>
      <c r="G46" s="104"/>
      <c r="H46" s="372"/>
      <c r="I46" s="279"/>
      <c r="J46" s="251"/>
      <c r="K46" s="136"/>
      <c r="L46" s="55"/>
      <c r="M46" s="442"/>
      <c r="N46" s="417"/>
      <c r="O46" s="415"/>
      <c r="P46" s="415"/>
      <c r="Q46" s="415"/>
      <c r="R46" s="415"/>
      <c r="S46" s="415"/>
      <c r="T46" s="416"/>
      <c r="U46" s="488"/>
      <c r="V46" s="483">
        <f t="shared" si="1"/>
        <v>0</v>
      </c>
    </row>
    <row r="47" spans="1:22" ht="26.25" customHeight="1">
      <c r="A47" s="56"/>
      <c r="B47" s="51"/>
      <c r="C47" s="576"/>
      <c r="D47" s="225"/>
      <c r="E47" s="103"/>
      <c r="F47" s="104"/>
      <c r="G47" s="104"/>
      <c r="H47" s="372"/>
      <c r="I47" s="238" t="s">
        <v>702</v>
      </c>
      <c r="J47" s="249"/>
      <c r="K47" s="134"/>
      <c r="L47" s="54"/>
      <c r="M47" s="443">
        <f>SUM(M48:M49)</f>
        <v>3652.4</v>
      </c>
      <c r="N47" s="417"/>
      <c r="O47" s="415">
        <f>SUM(O48:O49)</f>
        <v>1826</v>
      </c>
      <c r="P47" s="415">
        <f>SUM(P48:P49)</f>
        <v>1826</v>
      </c>
      <c r="Q47" s="415"/>
      <c r="R47" s="415"/>
      <c r="S47" s="415"/>
      <c r="T47" s="416"/>
      <c r="U47" s="488"/>
      <c r="V47" s="483">
        <f t="shared" si="1"/>
        <v>3652</v>
      </c>
    </row>
    <row r="48" spans="1:22" ht="26.25" customHeight="1">
      <c r="A48" s="56"/>
      <c r="B48" s="51"/>
      <c r="C48" s="576"/>
      <c r="D48" s="225"/>
      <c r="E48" s="103"/>
      <c r="F48" s="104"/>
      <c r="G48" s="104"/>
      <c r="H48" s="372"/>
      <c r="I48" s="186" t="s">
        <v>477</v>
      </c>
      <c r="J48" s="250">
        <v>1297000</v>
      </c>
      <c r="K48" s="135" t="s">
        <v>480</v>
      </c>
      <c r="L48" s="49" t="s">
        <v>143</v>
      </c>
      <c r="M48" s="444">
        <f>J48*100%*2/1000</f>
        <v>2594</v>
      </c>
      <c r="N48" s="417"/>
      <c r="O48" s="415">
        <v>1297</v>
      </c>
      <c r="P48" s="415">
        <v>1297</v>
      </c>
      <c r="Q48" s="415"/>
      <c r="R48" s="415"/>
      <c r="S48" s="415"/>
      <c r="T48" s="416"/>
      <c r="U48" s="488"/>
      <c r="V48" s="483">
        <f t="shared" si="1"/>
        <v>2594</v>
      </c>
    </row>
    <row r="49" spans="1:22" ht="26.25" customHeight="1">
      <c r="A49" s="56"/>
      <c r="B49" s="51"/>
      <c r="C49" s="576"/>
      <c r="D49" s="225"/>
      <c r="E49" s="103"/>
      <c r="F49" s="104"/>
      <c r="G49" s="104"/>
      <c r="H49" s="372"/>
      <c r="I49" s="186" t="s">
        <v>650</v>
      </c>
      <c r="J49" s="250">
        <v>756000</v>
      </c>
      <c r="K49" s="135" t="s">
        <v>651</v>
      </c>
      <c r="L49" s="49" t="s">
        <v>143</v>
      </c>
      <c r="M49" s="444">
        <f>J49*70%*2/1000</f>
        <v>1058.4</v>
      </c>
      <c r="N49" s="417"/>
      <c r="O49" s="415">
        <v>529</v>
      </c>
      <c r="P49" s="415">
        <v>529</v>
      </c>
      <c r="Q49" s="415"/>
      <c r="R49" s="415"/>
      <c r="S49" s="415"/>
      <c r="T49" s="416"/>
      <c r="U49" s="488"/>
      <c r="V49" s="483">
        <f t="shared" si="1"/>
        <v>1058</v>
      </c>
    </row>
    <row r="50" spans="1:22" ht="26.25" customHeight="1">
      <c r="A50" s="56"/>
      <c r="B50" s="51"/>
      <c r="C50" s="576"/>
      <c r="D50" s="225"/>
      <c r="E50" s="103"/>
      <c r="F50" s="104"/>
      <c r="G50" s="104"/>
      <c r="H50" s="372"/>
      <c r="I50" s="187"/>
      <c r="J50" s="251"/>
      <c r="K50" s="136"/>
      <c r="L50" s="55"/>
      <c r="M50" s="442"/>
      <c r="N50" s="417"/>
      <c r="O50" s="415"/>
      <c r="P50" s="415"/>
      <c r="Q50" s="415"/>
      <c r="R50" s="415"/>
      <c r="S50" s="415"/>
      <c r="T50" s="416"/>
      <c r="U50" s="488"/>
      <c r="V50" s="483">
        <f t="shared" si="1"/>
        <v>0</v>
      </c>
    </row>
    <row r="51" spans="1:22" ht="26.25" customHeight="1">
      <c r="A51" s="56"/>
      <c r="B51" s="52"/>
      <c r="C51" s="577"/>
      <c r="D51" s="552"/>
      <c r="E51" s="109"/>
      <c r="F51" s="110"/>
      <c r="G51" s="110"/>
      <c r="H51" s="374"/>
      <c r="I51" s="544" t="s">
        <v>701</v>
      </c>
      <c r="J51" s="272"/>
      <c r="K51" s="546"/>
      <c r="L51" s="308"/>
      <c r="M51" s="448">
        <f>SUM(M52:M53)</f>
        <v>1238</v>
      </c>
      <c r="N51" s="550"/>
      <c r="O51" s="432">
        <f>SUM(O52:O53)</f>
        <v>619</v>
      </c>
      <c r="P51" s="432">
        <f>SUM(P52:P53)</f>
        <v>619</v>
      </c>
      <c r="Q51" s="432"/>
      <c r="R51" s="432"/>
      <c r="S51" s="432"/>
      <c r="T51" s="433"/>
      <c r="U51" s="488"/>
      <c r="V51" s="483">
        <f t="shared" si="1"/>
        <v>1238</v>
      </c>
    </row>
    <row r="52" spans="1:22" ht="26.25" customHeight="1">
      <c r="A52" s="56"/>
      <c r="B52" s="57"/>
      <c r="C52" s="578"/>
      <c r="D52" s="231"/>
      <c r="E52" s="304"/>
      <c r="F52" s="305"/>
      <c r="G52" s="305"/>
      <c r="H52" s="375"/>
      <c r="I52" s="306" t="s">
        <v>492</v>
      </c>
      <c r="J52" s="307">
        <v>784000</v>
      </c>
      <c r="K52" s="309" t="s">
        <v>493</v>
      </c>
      <c r="L52" s="242" t="s">
        <v>143</v>
      </c>
      <c r="M52" s="514">
        <v>588</v>
      </c>
      <c r="N52" s="515"/>
      <c r="O52" s="469">
        <v>294</v>
      </c>
      <c r="P52" s="469">
        <v>294</v>
      </c>
      <c r="Q52" s="469"/>
      <c r="R52" s="469"/>
      <c r="S52" s="469"/>
      <c r="T52" s="470"/>
      <c r="U52" s="488"/>
      <c r="V52" s="483">
        <f t="shared" si="1"/>
        <v>588</v>
      </c>
    </row>
    <row r="53" spans="1:22" ht="26.25" customHeight="1">
      <c r="A53" s="56"/>
      <c r="B53" s="51"/>
      <c r="C53" s="576"/>
      <c r="D53" s="225"/>
      <c r="E53" s="103"/>
      <c r="F53" s="104"/>
      <c r="G53" s="104"/>
      <c r="H53" s="372"/>
      <c r="I53" s="185" t="s">
        <v>495</v>
      </c>
      <c r="J53" s="249">
        <v>813000</v>
      </c>
      <c r="K53" s="134" t="s">
        <v>494</v>
      </c>
      <c r="L53" s="54" t="s">
        <v>143</v>
      </c>
      <c r="M53" s="443">
        <v>650</v>
      </c>
      <c r="N53" s="617"/>
      <c r="O53" s="618">
        <v>325</v>
      </c>
      <c r="P53" s="618">
        <v>325</v>
      </c>
      <c r="Q53" s="618"/>
      <c r="R53" s="618"/>
      <c r="S53" s="618"/>
      <c r="T53" s="619"/>
      <c r="U53" s="488"/>
      <c r="V53" s="483">
        <f t="shared" si="1"/>
        <v>650</v>
      </c>
    </row>
    <row r="54" spans="1:22" ht="26.25" customHeight="1">
      <c r="A54" s="56"/>
      <c r="B54" s="51"/>
      <c r="C54" s="576"/>
      <c r="D54" s="225"/>
      <c r="E54" s="103"/>
      <c r="F54" s="104"/>
      <c r="G54" s="104"/>
      <c r="H54" s="372"/>
      <c r="I54" s="187"/>
      <c r="J54" s="251"/>
      <c r="K54" s="136"/>
      <c r="L54" s="55"/>
      <c r="M54" s="442"/>
      <c r="N54" s="417"/>
      <c r="O54" s="415"/>
      <c r="P54" s="415"/>
      <c r="Q54" s="415"/>
      <c r="R54" s="415"/>
      <c r="S54" s="415"/>
      <c r="T54" s="416"/>
      <c r="U54" s="488"/>
      <c r="V54" s="483">
        <f t="shared" si="1"/>
        <v>0</v>
      </c>
    </row>
    <row r="55" spans="1:22" ht="26.25" customHeight="1">
      <c r="A55" s="56"/>
      <c r="B55" s="51"/>
      <c r="C55" s="576"/>
      <c r="D55" s="225"/>
      <c r="E55" s="103"/>
      <c r="F55" s="104"/>
      <c r="G55" s="104"/>
      <c r="H55" s="372"/>
      <c r="I55" s="239" t="s">
        <v>700</v>
      </c>
      <c r="J55" s="249"/>
      <c r="K55" s="134"/>
      <c r="L55" s="54"/>
      <c r="M55" s="443">
        <f>SUM(M56:M57)</f>
        <v>1301</v>
      </c>
      <c r="N55" s="417"/>
      <c r="O55" s="415">
        <f>SUM(O56)</f>
        <v>0</v>
      </c>
      <c r="P55" s="415">
        <f>SUM(P56)</f>
        <v>1301</v>
      </c>
      <c r="Q55" s="415"/>
      <c r="R55" s="415"/>
      <c r="S55" s="415"/>
      <c r="T55" s="416"/>
      <c r="U55" s="488"/>
      <c r="V55" s="483">
        <f t="shared" si="1"/>
        <v>1301</v>
      </c>
    </row>
    <row r="56" spans="1:22" ht="26.25" customHeight="1">
      <c r="A56" s="56"/>
      <c r="B56" s="51"/>
      <c r="C56" s="576"/>
      <c r="D56" s="225"/>
      <c r="E56" s="103"/>
      <c r="F56" s="104"/>
      <c r="G56" s="104"/>
      <c r="H56" s="372"/>
      <c r="I56" s="186" t="s">
        <v>519</v>
      </c>
      <c r="J56" s="250">
        <v>813000</v>
      </c>
      <c r="K56" s="135" t="s">
        <v>520</v>
      </c>
      <c r="L56" s="49" t="s">
        <v>143</v>
      </c>
      <c r="M56" s="444">
        <v>1301</v>
      </c>
      <c r="N56" s="417"/>
      <c r="O56" s="415">
        <v>0</v>
      </c>
      <c r="P56" s="415">
        <v>1301</v>
      </c>
      <c r="Q56" s="415"/>
      <c r="R56" s="415"/>
      <c r="S56" s="415"/>
      <c r="T56" s="416"/>
      <c r="U56" s="488"/>
      <c r="V56" s="483"/>
    </row>
    <row r="57" spans="1:22" ht="26.25" customHeight="1">
      <c r="A57" s="56"/>
      <c r="B57" s="51"/>
      <c r="C57" s="576"/>
      <c r="D57" s="225"/>
      <c r="E57" s="103"/>
      <c r="F57" s="104"/>
      <c r="G57" s="104"/>
      <c r="H57" s="372"/>
      <c r="I57" s="187"/>
      <c r="J57" s="251"/>
      <c r="K57" s="136"/>
      <c r="L57" s="55"/>
      <c r="M57" s="442"/>
      <c r="N57" s="417"/>
      <c r="O57" s="415"/>
      <c r="P57" s="415"/>
      <c r="Q57" s="415"/>
      <c r="R57" s="415"/>
      <c r="S57" s="415"/>
      <c r="T57" s="416"/>
      <c r="U57" s="488"/>
      <c r="V57" s="483">
        <f t="shared" si="1"/>
        <v>0</v>
      </c>
    </row>
    <row r="58" spans="1:22" ht="26.25" customHeight="1">
      <c r="A58" s="56"/>
      <c r="B58" s="51"/>
      <c r="C58" s="576"/>
      <c r="D58" s="225"/>
      <c r="E58" s="103"/>
      <c r="F58" s="104"/>
      <c r="G58" s="104"/>
      <c r="H58" s="372"/>
      <c r="I58" s="239" t="s">
        <v>703</v>
      </c>
      <c r="J58" s="249"/>
      <c r="K58" s="134"/>
      <c r="L58" s="54"/>
      <c r="M58" s="443">
        <f>SUM(M59:M68)</f>
        <v>25366</v>
      </c>
      <c r="N58" s="417"/>
      <c r="O58" s="415">
        <f>SUM(O59:O68)</f>
        <v>12683</v>
      </c>
      <c r="P58" s="415">
        <f>SUM(P59:P68)</f>
        <v>12683</v>
      </c>
      <c r="Q58" s="415"/>
      <c r="R58" s="415"/>
      <c r="S58" s="415"/>
      <c r="T58" s="416"/>
      <c r="U58" s="488"/>
      <c r="V58" s="483">
        <f t="shared" si="1"/>
        <v>25366</v>
      </c>
    </row>
    <row r="59" spans="1:22" ht="26.25" customHeight="1">
      <c r="A59" s="56"/>
      <c r="B59" s="51"/>
      <c r="C59" s="576"/>
      <c r="D59" s="225"/>
      <c r="E59" s="103"/>
      <c r="F59" s="104"/>
      <c r="G59" s="104"/>
      <c r="H59" s="372"/>
      <c r="I59" s="186" t="s">
        <v>385</v>
      </c>
      <c r="J59" s="250">
        <v>1590000</v>
      </c>
      <c r="K59" s="135" t="s">
        <v>398</v>
      </c>
      <c r="L59" s="49" t="s">
        <v>143</v>
      </c>
      <c r="M59" s="444">
        <v>3180</v>
      </c>
      <c r="N59" s="417"/>
      <c r="O59" s="415">
        <v>1590</v>
      </c>
      <c r="P59" s="415">
        <v>1590</v>
      </c>
      <c r="Q59" s="415"/>
      <c r="R59" s="415"/>
      <c r="S59" s="415"/>
      <c r="T59" s="416"/>
      <c r="U59" s="488"/>
      <c r="V59" s="483">
        <f t="shared" si="1"/>
        <v>3180</v>
      </c>
    </row>
    <row r="60" spans="1:22" ht="26.25" customHeight="1">
      <c r="A60" s="56"/>
      <c r="B60" s="51"/>
      <c r="C60" s="576"/>
      <c r="D60" s="225"/>
      <c r="E60" s="103"/>
      <c r="F60" s="104"/>
      <c r="G60" s="104"/>
      <c r="H60" s="372"/>
      <c r="I60" s="186" t="s">
        <v>386</v>
      </c>
      <c r="J60" s="250">
        <v>1622000</v>
      </c>
      <c r="K60" s="135" t="s">
        <v>398</v>
      </c>
      <c r="L60" s="49" t="s">
        <v>143</v>
      </c>
      <c r="M60" s="444">
        <v>3244</v>
      </c>
      <c r="N60" s="417"/>
      <c r="O60" s="415">
        <v>1622</v>
      </c>
      <c r="P60" s="415">
        <v>1622</v>
      </c>
      <c r="Q60" s="415"/>
      <c r="R60" s="415"/>
      <c r="S60" s="415"/>
      <c r="T60" s="416"/>
      <c r="U60" s="488"/>
      <c r="V60" s="483">
        <f t="shared" si="1"/>
        <v>3244</v>
      </c>
    </row>
    <row r="61" spans="1:22" ht="26.25" customHeight="1">
      <c r="A61" s="56"/>
      <c r="B61" s="51"/>
      <c r="C61" s="576"/>
      <c r="D61" s="225"/>
      <c r="E61" s="103"/>
      <c r="F61" s="104"/>
      <c r="G61" s="104"/>
      <c r="H61" s="372"/>
      <c r="I61" s="186" t="s">
        <v>655</v>
      </c>
      <c r="J61" s="250">
        <v>1313000</v>
      </c>
      <c r="K61" s="135" t="s">
        <v>483</v>
      </c>
      <c r="L61" s="49" t="s">
        <v>143</v>
      </c>
      <c r="M61" s="444">
        <v>5252</v>
      </c>
      <c r="N61" s="417"/>
      <c r="O61" s="415">
        <v>2626</v>
      </c>
      <c r="P61" s="415">
        <v>2626</v>
      </c>
      <c r="Q61" s="415"/>
      <c r="R61" s="415"/>
      <c r="S61" s="415"/>
      <c r="T61" s="416"/>
      <c r="U61" s="488"/>
      <c r="V61" s="483">
        <f t="shared" si="1"/>
        <v>5252</v>
      </c>
    </row>
    <row r="62" spans="1:22" ht="26.25" customHeight="1">
      <c r="A62" s="56"/>
      <c r="B62" s="51"/>
      <c r="C62" s="576"/>
      <c r="D62" s="225"/>
      <c r="E62" s="103"/>
      <c r="F62" s="104"/>
      <c r="G62" s="104"/>
      <c r="H62" s="372"/>
      <c r="I62" s="186" t="s">
        <v>652</v>
      </c>
      <c r="J62" s="250">
        <v>977000</v>
      </c>
      <c r="K62" s="135" t="s">
        <v>496</v>
      </c>
      <c r="L62" s="49"/>
      <c r="M62" s="444">
        <v>1954</v>
      </c>
      <c r="N62" s="417">
        <v>0</v>
      </c>
      <c r="O62" s="415">
        <v>977</v>
      </c>
      <c r="P62" s="415">
        <v>977</v>
      </c>
      <c r="Q62" s="415"/>
      <c r="R62" s="415"/>
      <c r="S62" s="415"/>
      <c r="T62" s="416"/>
      <c r="U62" s="488"/>
      <c r="V62" s="483">
        <f t="shared" si="1"/>
        <v>1954</v>
      </c>
    </row>
    <row r="63" spans="1:22" ht="26.25" customHeight="1">
      <c r="A63" s="56"/>
      <c r="B63" s="51"/>
      <c r="C63" s="576"/>
      <c r="D63" s="225"/>
      <c r="E63" s="103"/>
      <c r="F63" s="104"/>
      <c r="G63" s="104"/>
      <c r="H63" s="372"/>
      <c r="I63" s="186" t="s">
        <v>478</v>
      </c>
      <c r="J63" s="250">
        <v>995000</v>
      </c>
      <c r="K63" s="135" t="s">
        <v>496</v>
      </c>
      <c r="L63" s="49"/>
      <c r="M63" s="444">
        <v>1990</v>
      </c>
      <c r="N63" s="417"/>
      <c r="O63" s="415">
        <v>995</v>
      </c>
      <c r="P63" s="415">
        <v>995</v>
      </c>
      <c r="Q63" s="415"/>
      <c r="R63" s="415"/>
      <c r="S63" s="415"/>
      <c r="T63" s="416"/>
      <c r="U63" s="488"/>
      <c r="V63" s="483">
        <f t="shared" si="1"/>
        <v>1990</v>
      </c>
    </row>
    <row r="64" spans="1:22" ht="26.25" customHeight="1">
      <c r="A64" s="56"/>
      <c r="B64" s="51"/>
      <c r="C64" s="576"/>
      <c r="D64" s="225"/>
      <c r="E64" s="103"/>
      <c r="F64" s="104"/>
      <c r="G64" s="104"/>
      <c r="H64" s="372"/>
      <c r="I64" s="186" t="s">
        <v>653</v>
      </c>
      <c r="J64" s="250">
        <v>961000</v>
      </c>
      <c r="K64" s="135" t="s">
        <v>398</v>
      </c>
      <c r="L64" s="49" t="s">
        <v>143</v>
      </c>
      <c r="M64" s="444">
        <v>1922</v>
      </c>
      <c r="N64" s="436">
        <f>N66+N70+N74+N80+N87+N91</f>
        <v>0</v>
      </c>
      <c r="O64" s="484">
        <v>961</v>
      </c>
      <c r="P64" s="484">
        <v>961</v>
      </c>
      <c r="Q64" s="484"/>
      <c r="R64" s="484"/>
      <c r="S64" s="484"/>
      <c r="T64" s="555"/>
      <c r="U64" s="488"/>
      <c r="V64" s="483">
        <f t="shared" si="1"/>
        <v>1922</v>
      </c>
    </row>
    <row r="65" spans="1:22" ht="26.25" customHeight="1">
      <c r="A65" s="56"/>
      <c r="B65" s="51"/>
      <c r="C65" s="576"/>
      <c r="D65" s="225"/>
      <c r="E65" s="103"/>
      <c r="F65" s="104"/>
      <c r="G65" s="104"/>
      <c r="H65" s="372"/>
      <c r="I65" s="186" t="s">
        <v>387</v>
      </c>
      <c r="J65" s="250">
        <v>977000</v>
      </c>
      <c r="K65" s="135" t="s">
        <v>398</v>
      </c>
      <c r="L65" s="49" t="s">
        <v>143</v>
      </c>
      <c r="M65" s="444">
        <v>1954</v>
      </c>
      <c r="N65" s="417"/>
      <c r="O65" s="415">
        <v>977</v>
      </c>
      <c r="P65" s="415">
        <v>977</v>
      </c>
      <c r="Q65" s="415"/>
      <c r="R65" s="415"/>
      <c r="S65" s="415"/>
      <c r="T65" s="416"/>
      <c r="U65" s="488"/>
      <c r="V65" s="483">
        <f t="shared" si="1"/>
        <v>1954</v>
      </c>
    </row>
    <row r="66" spans="1:22" ht="26.25" customHeight="1">
      <c r="A66" s="56"/>
      <c r="B66" s="51"/>
      <c r="C66" s="576"/>
      <c r="D66" s="225"/>
      <c r="E66" s="103"/>
      <c r="F66" s="104"/>
      <c r="G66" s="104"/>
      <c r="H66" s="372"/>
      <c r="I66" s="186" t="s">
        <v>388</v>
      </c>
      <c r="J66" s="250">
        <v>737000</v>
      </c>
      <c r="K66" s="135" t="s">
        <v>398</v>
      </c>
      <c r="L66" s="49" t="s">
        <v>143</v>
      </c>
      <c r="M66" s="444">
        <v>1474</v>
      </c>
      <c r="N66" s="417">
        <v>0</v>
      </c>
      <c r="O66" s="415">
        <v>737</v>
      </c>
      <c r="P66" s="415">
        <v>737</v>
      </c>
      <c r="Q66" s="415"/>
      <c r="R66" s="415"/>
      <c r="S66" s="471"/>
      <c r="T66" s="472"/>
      <c r="U66" s="488"/>
      <c r="V66" s="483">
        <f t="shared" si="1"/>
        <v>1474</v>
      </c>
    </row>
    <row r="67" spans="1:22" ht="26.25" customHeight="1">
      <c r="A67" s="56"/>
      <c r="B67" s="52"/>
      <c r="C67" s="577"/>
      <c r="D67" s="552"/>
      <c r="E67" s="109"/>
      <c r="F67" s="110"/>
      <c r="G67" s="110"/>
      <c r="H67" s="374"/>
      <c r="I67" s="193" t="s">
        <v>389</v>
      </c>
      <c r="J67" s="261">
        <v>756000</v>
      </c>
      <c r="K67" s="139" t="s">
        <v>398</v>
      </c>
      <c r="L67" s="50" t="s">
        <v>143</v>
      </c>
      <c r="M67" s="461">
        <v>1512</v>
      </c>
      <c r="N67" s="550">
        <v>0</v>
      </c>
      <c r="O67" s="432">
        <v>756</v>
      </c>
      <c r="P67" s="432">
        <v>756</v>
      </c>
      <c r="Q67" s="432"/>
      <c r="R67" s="432"/>
      <c r="S67" s="432"/>
      <c r="T67" s="433"/>
      <c r="U67" s="488"/>
      <c r="V67" s="483">
        <f t="shared" si="1"/>
        <v>1512</v>
      </c>
    </row>
    <row r="68" spans="1:22" ht="26.25" customHeight="1">
      <c r="A68" s="56"/>
      <c r="B68" s="57"/>
      <c r="C68" s="578"/>
      <c r="D68" s="231"/>
      <c r="E68" s="304"/>
      <c r="F68" s="305"/>
      <c r="G68" s="305"/>
      <c r="H68" s="375"/>
      <c r="I68" s="306" t="s">
        <v>390</v>
      </c>
      <c r="J68" s="307">
        <v>721000</v>
      </c>
      <c r="K68" s="309" t="s">
        <v>399</v>
      </c>
      <c r="L68" s="242" t="s">
        <v>143</v>
      </c>
      <c r="M68" s="514">
        <v>2884</v>
      </c>
      <c r="N68" s="515">
        <v>0</v>
      </c>
      <c r="O68" s="469">
        <v>1442</v>
      </c>
      <c r="P68" s="469">
        <v>1442</v>
      </c>
      <c r="Q68" s="469"/>
      <c r="R68" s="469"/>
      <c r="S68" s="469"/>
      <c r="T68" s="470"/>
      <c r="U68" s="488"/>
      <c r="V68" s="483">
        <f t="shared" si="1"/>
        <v>2884</v>
      </c>
    </row>
    <row r="69" spans="1:22" ht="26.25" customHeight="1">
      <c r="A69" s="56"/>
      <c r="B69" s="51"/>
      <c r="C69" s="576"/>
      <c r="D69" s="225"/>
      <c r="E69" s="103"/>
      <c r="F69" s="104"/>
      <c r="G69" s="104"/>
      <c r="H69" s="372"/>
      <c r="I69" s="186"/>
      <c r="J69" s="250"/>
      <c r="K69" s="135"/>
      <c r="L69" s="49"/>
      <c r="M69" s="444"/>
      <c r="N69" s="417"/>
      <c r="O69" s="415"/>
      <c r="P69" s="415"/>
      <c r="Q69" s="415"/>
      <c r="R69" s="415"/>
      <c r="S69" s="415"/>
      <c r="T69" s="416"/>
      <c r="U69" s="488"/>
      <c r="V69" s="483">
        <f t="shared" si="1"/>
        <v>0</v>
      </c>
    </row>
    <row r="70" spans="1:22" ht="26.25" customHeight="1">
      <c r="A70" s="56"/>
      <c r="B70" s="51"/>
      <c r="C70" s="576"/>
      <c r="D70" s="225"/>
      <c r="E70" s="103"/>
      <c r="F70" s="104"/>
      <c r="G70" s="104"/>
      <c r="H70" s="372"/>
      <c r="I70" s="239" t="s">
        <v>704</v>
      </c>
      <c r="J70" s="249"/>
      <c r="K70" s="134"/>
      <c r="L70" s="54"/>
      <c r="M70" s="443">
        <f>SUM(M71:M72)</f>
        <v>8212</v>
      </c>
      <c r="N70" s="425">
        <v>0</v>
      </c>
      <c r="O70" s="415">
        <f>SUM(O71:O72)</f>
        <v>4106</v>
      </c>
      <c r="P70" s="415">
        <f>SUM(P71:P72)</f>
        <v>4106</v>
      </c>
      <c r="Q70" s="415">
        <v>0</v>
      </c>
      <c r="R70" s="415">
        <v>0</v>
      </c>
      <c r="S70" s="471"/>
      <c r="T70" s="472"/>
      <c r="U70" s="488"/>
      <c r="V70" s="483">
        <f t="shared" si="1"/>
        <v>8212</v>
      </c>
    </row>
    <row r="71" spans="1:22" ht="26.25" customHeight="1">
      <c r="A71" s="56"/>
      <c r="B71" s="51"/>
      <c r="C71" s="576"/>
      <c r="D71" s="225"/>
      <c r="E71" s="103"/>
      <c r="F71" s="104"/>
      <c r="G71" s="104"/>
      <c r="H71" s="372"/>
      <c r="I71" s="186" t="s">
        <v>477</v>
      </c>
      <c r="J71" s="250">
        <v>1297000</v>
      </c>
      <c r="K71" s="135" t="s">
        <v>483</v>
      </c>
      <c r="L71" s="49" t="s">
        <v>143</v>
      </c>
      <c r="M71" s="444">
        <v>5188</v>
      </c>
      <c r="N71" s="417">
        <v>0</v>
      </c>
      <c r="O71" s="415">
        <v>2594</v>
      </c>
      <c r="P71" s="415">
        <v>2594</v>
      </c>
      <c r="Q71" s="415">
        <v>0</v>
      </c>
      <c r="R71" s="415">
        <v>0</v>
      </c>
      <c r="S71" s="415"/>
      <c r="T71" s="416"/>
      <c r="U71" s="488"/>
      <c r="V71" s="483">
        <f aca="true" t="shared" si="3" ref="V71:V134">SUM(N71:T71)</f>
        <v>5188</v>
      </c>
    </row>
    <row r="72" spans="1:22" ht="26.25" customHeight="1">
      <c r="A72" s="56"/>
      <c r="B72" s="51"/>
      <c r="C72" s="576"/>
      <c r="D72" s="225"/>
      <c r="E72" s="103"/>
      <c r="F72" s="104"/>
      <c r="G72" s="104"/>
      <c r="H72" s="372"/>
      <c r="I72" s="186" t="s">
        <v>650</v>
      </c>
      <c r="J72" s="250">
        <v>756000</v>
      </c>
      <c r="K72" s="135" t="s">
        <v>483</v>
      </c>
      <c r="L72" s="49" t="s">
        <v>143</v>
      </c>
      <c r="M72" s="444">
        <v>3024</v>
      </c>
      <c r="N72" s="417">
        <v>0</v>
      </c>
      <c r="O72" s="415">
        <v>1512</v>
      </c>
      <c r="P72" s="415">
        <v>1512</v>
      </c>
      <c r="Q72" s="415">
        <v>0</v>
      </c>
      <c r="R72" s="415">
        <v>0</v>
      </c>
      <c r="S72" s="415"/>
      <c r="T72" s="416"/>
      <c r="U72" s="488"/>
      <c r="V72" s="483">
        <f t="shared" si="3"/>
        <v>3024</v>
      </c>
    </row>
    <row r="73" spans="1:22" ht="26.25" customHeight="1">
      <c r="A73" s="56"/>
      <c r="B73" s="51"/>
      <c r="C73" s="576"/>
      <c r="D73" s="225"/>
      <c r="E73" s="103"/>
      <c r="F73" s="104"/>
      <c r="G73" s="104"/>
      <c r="H73" s="372"/>
      <c r="I73" s="187"/>
      <c r="J73" s="251"/>
      <c r="K73" s="136"/>
      <c r="L73" s="55"/>
      <c r="M73" s="442"/>
      <c r="N73" s="417"/>
      <c r="O73" s="415"/>
      <c r="P73" s="415"/>
      <c r="Q73" s="415"/>
      <c r="R73" s="415"/>
      <c r="S73" s="415"/>
      <c r="T73" s="416"/>
      <c r="U73" s="488"/>
      <c r="V73" s="483">
        <f t="shared" si="3"/>
        <v>0</v>
      </c>
    </row>
    <row r="74" spans="1:22" ht="26.25" customHeight="1">
      <c r="A74" s="56"/>
      <c r="B74" s="51"/>
      <c r="C74" s="576"/>
      <c r="D74" s="225"/>
      <c r="E74" s="103"/>
      <c r="F74" s="104"/>
      <c r="G74" s="104"/>
      <c r="H74" s="372"/>
      <c r="I74" s="239" t="s">
        <v>705</v>
      </c>
      <c r="J74" s="249"/>
      <c r="K74" s="134"/>
      <c r="L74" s="54"/>
      <c r="M74" s="443">
        <f>SUM(M75:M76)</f>
        <v>3194</v>
      </c>
      <c r="N74" s="522">
        <f>SUM(N75:N78)</f>
        <v>0</v>
      </c>
      <c r="O74" s="415">
        <f>SUM(O75:O76)</f>
        <v>1597</v>
      </c>
      <c r="P74" s="415">
        <f>SUM(P75:P76)</f>
        <v>1597</v>
      </c>
      <c r="Q74" s="471"/>
      <c r="R74" s="471"/>
      <c r="S74" s="471"/>
      <c r="T74" s="472"/>
      <c r="U74" s="488"/>
      <c r="V74" s="483">
        <f t="shared" si="3"/>
        <v>3194</v>
      </c>
    </row>
    <row r="75" spans="1:22" ht="26.25" customHeight="1">
      <c r="A75" s="56"/>
      <c r="B75" s="51"/>
      <c r="C75" s="576"/>
      <c r="D75" s="225"/>
      <c r="E75" s="103"/>
      <c r="F75" s="104"/>
      <c r="G75" s="104"/>
      <c r="H75" s="372"/>
      <c r="I75" s="186" t="s">
        <v>492</v>
      </c>
      <c r="J75" s="250">
        <v>784000</v>
      </c>
      <c r="K75" s="135" t="s">
        <v>496</v>
      </c>
      <c r="L75" s="49" t="s">
        <v>143</v>
      </c>
      <c r="M75" s="444">
        <v>1568</v>
      </c>
      <c r="N75" s="417">
        <v>0</v>
      </c>
      <c r="O75" s="415">
        <v>784</v>
      </c>
      <c r="P75" s="415">
        <v>784</v>
      </c>
      <c r="Q75" s="415"/>
      <c r="R75" s="415"/>
      <c r="S75" s="415"/>
      <c r="T75" s="416"/>
      <c r="U75" s="488"/>
      <c r="V75" s="483">
        <f t="shared" si="3"/>
        <v>1568</v>
      </c>
    </row>
    <row r="76" spans="1:22" ht="26.25" customHeight="1">
      <c r="A76" s="56"/>
      <c r="B76" s="51"/>
      <c r="C76" s="576"/>
      <c r="D76" s="56"/>
      <c r="E76" s="103"/>
      <c r="F76" s="104"/>
      <c r="G76" s="104"/>
      <c r="H76" s="372"/>
      <c r="I76" s="186" t="s">
        <v>495</v>
      </c>
      <c r="J76" s="250">
        <v>813000</v>
      </c>
      <c r="K76" s="135" t="s">
        <v>398</v>
      </c>
      <c r="L76" s="49" t="s">
        <v>143</v>
      </c>
      <c r="M76" s="444">
        <v>1626</v>
      </c>
      <c r="N76" s="417">
        <v>0</v>
      </c>
      <c r="O76" s="415">
        <v>813</v>
      </c>
      <c r="P76" s="415">
        <v>813</v>
      </c>
      <c r="Q76" s="415"/>
      <c r="R76" s="415"/>
      <c r="S76" s="415"/>
      <c r="T76" s="416"/>
      <c r="U76" s="488"/>
      <c r="V76" s="483">
        <f t="shared" si="3"/>
        <v>1626</v>
      </c>
    </row>
    <row r="77" spans="1:22" ht="26.25" customHeight="1">
      <c r="A77" s="56"/>
      <c r="B77" s="51"/>
      <c r="C77" s="576"/>
      <c r="D77" s="56"/>
      <c r="E77" s="103"/>
      <c r="F77" s="104"/>
      <c r="G77" s="104"/>
      <c r="H77" s="372"/>
      <c r="I77" s="186"/>
      <c r="J77" s="250"/>
      <c r="K77" s="135"/>
      <c r="L77" s="49"/>
      <c r="M77" s="444"/>
      <c r="N77" s="417">
        <v>0</v>
      </c>
      <c r="O77" s="415">
        <v>0</v>
      </c>
      <c r="P77" s="415">
        <v>0</v>
      </c>
      <c r="Q77" s="415"/>
      <c r="R77" s="415"/>
      <c r="S77" s="415"/>
      <c r="T77" s="416"/>
      <c r="U77" s="488"/>
      <c r="V77" s="483">
        <f t="shared" si="3"/>
        <v>0</v>
      </c>
    </row>
    <row r="78" spans="1:22" ht="26.25" customHeight="1">
      <c r="A78" s="56"/>
      <c r="B78" s="51"/>
      <c r="C78" s="576"/>
      <c r="D78" s="56"/>
      <c r="E78" s="103"/>
      <c r="F78" s="104"/>
      <c r="G78" s="104"/>
      <c r="H78" s="372"/>
      <c r="I78" s="239" t="s">
        <v>706</v>
      </c>
      <c r="J78" s="249"/>
      <c r="K78" s="134"/>
      <c r="L78" s="54"/>
      <c r="M78" s="443">
        <f>SUM(M79:M79)</f>
        <v>3252</v>
      </c>
      <c r="N78" s="425">
        <v>0</v>
      </c>
      <c r="O78" s="406">
        <f>SUM(O79)</f>
        <v>0</v>
      </c>
      <c r="P78" s="406">
        <f>SUM(P79)</f>
        <v>3252</v>
      </c>
      <c r="Q78" s="406"/>
      <c r="R78" s="406"/>
      <c r="S78" s="406"/>
      <c r="T78" s="407"/>
      <c r="U78" s="488"/>
      <c r="V78" s="483">
        <f t="shared" si="3"/>
        <v>3252</v>
      </c>
    </row>
    <row r="79" spans="1:22" ht="26.25" customHeight="1">
      <c r="A79" s="56"/>
      <c r="B79" s="51"/>
      <c r="C79" s="576"/>
      <c r="D79" s="56"/>
      <c r="E79" s="103"/>
      <c r="F79" s="104"/>
      <c r="G79" s="106"/>
      <c r="H79" s="376"/>
      <c r="I79" s="186" t="s">
        <v>519</v>
      </c>
      <c r="J79" s="250">
        <v>813000</v>
      </c>
      <c r="K79" s="135" t="s">
        <v>399</v>
      </c>
      <c r="L79" s="49" t="s">
        <v>143</v>
      </c>
      <c r="M79" s="444">
        <v>3252</v>
      </c>
      <c r="N79" s="417"/>
      <c r="O79" s="415">
        <v>0</v>
      </c>
      <c r="P79" s="415">
        <v>3252</v>
      </c>
      <c r="Q79" s="415"/>
      <c r="R79" s="415"/>
      <c r="S79" s="415"/>
      <c r="T79" s="416"/>
      <c r="U79" s="488"/>
      <c r="V79" s="483">
        <f t="shared" si="3"/>
        <v>3252</v>
      </c>
    </row>
    <row r="80" spans="1:22" ht="26.25" customHeight="1">
      <c r="A80" s="56"/>
      <c r="B80" s="51"/>
      <c r="C80" s="576"/>
      <c r="D80" s="222" t="s">
        <v>190</v>
      </c>
      <c r="E80" s="101">
        <f>M81</f>
        <v>7920</v>
      </c>
      <c r="F80" s="102">
        <v>10957</v>
      </c>
      <c r="G80" s="313">
        <f>E80-F80</f>
        <v>-3037</v>
      </c>
      <c r="H80" s="314">
        <f>G80/F80</f>
        <v>-0.27717440905357305</v>
      </c>
      <c r="I80" s="188"/>
      <c r="J80" s="252"/>
      <c r="K80" s="136"/>
      <c r="L80" s="55"/>
      <c r="M80" s="442"/>
      <c r="N80" s="522"/>
      <c r="O80" s="471"/>
      <c r="P80" s="471"/>
      <c r="Q80" s="471"/>
      <c r="R80" s="471"/>
      <c r="S80" s="471"/>
      <c r="T80" s="472"/>
      <c r="U80" s="488"/>
      <c r="V80" s="483">
        <f t="shared" si="3"/>
        <v>0</v>
      </c>
    </row>
    <row r="81" spans="1:22" ht="26.25" customHeight="1">
      <c r="A81" s="56"/>
      <c r="B81" s="51"/>
      <c r="C81" s="576"/>
      <c r="D81" s="220" t="s">
        <v>191</v>
      </c>
      <c r="E81" s="103"/>
      <c r="F81" s="104"/>
      <c r="G81" s="104"/>
      <c r="H81" s="372"/>
      <c r="I81" s="189" t="s">
        <v>521</v>
      </c>
      <c r="J81" s="253">
        <v>660000</v>
      </c>
      <c r="K81" s="134" t="s">
        <v>512</v>
      </c>
      <c r="L81" s="54" t="s">
        <v>143</v>
      </c>
      <c r="M81" s="532">
        <f>J81*12/1000</f>
        <v>7920</v>
      </c>
      <c r="N81" s="417">
        <v>0</v>
      </c>
      <c r="O81" s="497">
        <v>0</v>
      </c>
      <c r="P81" s="497">
        <v>7920</v>
      </c>
      <c r="Q81" s="415"/>
      <c r="R81" s="415"/>
      <c r="S81" s="415"/>
      <c r="T81" s="555"/>
      <c r="U81" s="488"/>
      <c r="V81" s="483">
        <f t="shared" si="3"/>
        <v>7920</v>
      </c>
    </row>
    <row r="82" spans="1:22" ht="26.25" customHeight="1">
      <c r="A82" s="56"/>
      <c r="B82" s="51"/>
      <c r="C82" s="576"/>
      <c r="D82" s="221"/>
      <c r="E82" s="105"/>
      <c r="F82" s="106"/>
      <c r="G82" s="106"/>
      <c r="H82" s="376"/>
      <c r="I82" s="190" t="s">
        <v>192</v>
      </c>
      <c r="J82" s="254"/>
      <c r="K82" s="135"/>
      <c r="L82" s="49"/>
      <c r="M82" s="444"/>
      <c r="N82" s="417"/>
      <c r="O82" s="415"/>
      <c r="P82" s="415"/>
      <c r="Q82" s="415"/>
      <c r="R82" s="415"/>
      <c r="S82" s="415"/>
      <c r="T82" s="555"/>
      <c r="U82" s="488"/>
      <c r="V82" s="483">
        <f t="shared" si="3"/>
        <v>0</v>
      </c>
    </row>
    <row r="83" spans="1:22" ht="26.25" customHeight="1">
      <c r="A83" s="56"/>
      <c r="B83" s="52"/>
      <c r="C83" s="577"/>
      <c r="D83" s="635" t="s">
        <v>173</v>
      </c>
      <c r="E83" s="636">
        <f>M83</f>
        <v>78824</v>
      </c>
      <c r="F83" s="637">
        <v>71230</v>
      </c>
      <c r="G83" s="110">
        <f>E83-F83</f>
        <v>7594</v>
      </c>
      <c r="H83" s="374">
        <f>G83/F83</f>
        <v>0.10661238242313632</v>
      </c>
      <c r="I83" s="564" t="s">
        <v>707</v>
      </c>
      <c r="J83" s="261"/>
      <c r="K83" s="139"/>
      <c r="L83" s="50"/>
      <c r="M83" s="638">
        <f>M84+M104+M116+M127</f>
        <v>78824</v>
      </c>
      <c r="N83" s="550"/>
      <c r="O83" s="639">
        <f>O84+O104+O116+O127</f>
        <v>33230</v>
      </c>
      <c r="P83" s="639">
        <f>P84+P104+P116+P127</f>
        <v>37594</v>
      </c>
      <c r="Q83" s="432"/>
      <c r="R83" s="639">
        <f>R84+R104+R116+R127</f>
        <v>8000</v>
      </c>
      <c r="S83" s="432"/>
      <c r="T83" s="465"/>
      <c r="U83" s="488"/>
      <c r="V83" s="483">
        <f t="shared" si="3"/>
        <v>78824</v>
      </c>
    </row>
    <row r="84" spans="1:22" ht="26.25" customHeight="1">
      <c r="A84" s="56"/>
      <c r="B84" s="57"/>
      <c r="C84" s="578"/>
      <c r="D84" s="303" t="s">
        <v>193</v>
      </c>
      <c r="E84" s="304"/>
      <c r="F84" s="305"/>
      <c r="G84" s="305"/>
      <c r="H84" s="375"/>
      <c r="I84" s="556" t="s">
        <v>696</v>
      </c>
      <c r="J84" s="307"/>
      <c r="K84" s="309"/>
      <c r="L84" s="242"/>
      <c r="M84" s="514">
        <f>SUM(M85:M102)</f>
        <v>52852</v>
      </c>
      <c r="N84" s="515"/>
      <c r="O84" s="469">
        <f>SUM(O85:O101)</f>
        <v>22927</v>
      </c>
      <c r="P84" s="469">
        <f>SUM(P85:P101)</f>
        <v>22925</v>
      </c>
      <c r="Q84" s="469"/>
      <c r="R84" s="469">
        <f>SUM(R85:R102)</f>
        <v>7000</v>
      </c>
      <c r="S84" s="469"/>
      <c r="T84" s="479"/>
      <c r="U84" s="488"/>
      <c r="V84" s="483">
        <f t="shared" si="3"/>
        <v>52852</v>
      </c>
    </row>
    <row r="85" spans="1:22" ht="26.25" customHeight="1">
      <c r="A85" s="56"/>
      <c r="B85" s="51"/>
      <c r="C85" s="576"/>
      <c r="D85" s="56"/>
      <c r="E85" s="103"/>
      <c r="F85" s="104"/>
      <c r="G85" s="104"/>
      <c r="H85" s="372"/>
      <c r="I85" s="186" t="s">
        <v>708</v>
      </c>
      <c r="J85" s="250">
        <v>76098000</v>
      </c>
      <c r="K85" s="135" t="s">
        <v>709</v>
      </c>
      <c r="L85" s="49" t="s">
        <v>239</v>
      </c>
      <c r="M85" s="444">
        <v>15219</v>
      </c>
      <c r="N85" s="417"/>
      <c r="O85" s="415">
        <v>7610</v>
      </c>
      <c r="P85" s="415">
        <v>7609</v>
      </c>
      <c r="Q85" s="415"/>
      <c r="R85" s="415"/>
      <c r="S85" s="415"/>
      <c r="T85" s="555"/>
      <c r="U85" s="488"/>
      <c r="V85" s="483">
        <f t="shared" si="3"/>
        <v>15219</v>
      </c>
    </row>
    <row r="86" spans="1:22" ht="26.25" customHeight="1">
      <c r="A86" s="56"/>
      <c r="B86" s="51"/>
      <c r="C86" s="576"/>
      <c r="D86" s="220"/>
      <c r="E86" s="103"/>
      <c r="F86" s="104"/>
      <c r="G86" s="104"/>
      <c r="H86" s="372"/>
      <c r="I86" s="186" t="s">
        <v>710</v>
      </c>
      <c r="J86" s="250">
        <v>20000</v>
      </c>
      <c r="K86" s="135" t="s">
        <v>711</v>
      </c>
      <c r="L86" s="49" t="s">
        <v>239</v>
      </c>
      <c r="M86" s="444">
        <v>1440</v>
      </c>
      <c r="N86" s="417"/>
      <c r="O86" s="415">
        <v>720</v>
      </c>
      <c r="P86" s="415">
        <v>720</v>
      </c>
      <c r="Q86" s="415"/>
      <c r="R86" s="415"/>
      <c r="S86" s="415"/>
      <c r="T86" s="416"/>
      <c r="U86" s="488"/>
      <c r="V86" s="483">
        <f t="shared" si="3"/>
        <v>1440</v>
      </c>
    </row>
    <row r="87" spans="1:22" ht="26.25" customHeight="1">
      <c r="A87" s="56"/>
      <c r="B87" s="51"/>
      <c r="C87" s="576"/>
      <c r="D87" s="220"/>
      <c r="E87" s="103"/>
      <c r="F87" s="104"/>
      <c r="G87" s="104"/>
      <c r="H87" s="372"/>
      <c r="I87" s="186" t="s">
        <v>712</v>
      </c>
      <c r="J87" s="250">
        <v>6299000</v>
      </c>
      <c r="K87" s="135" t="s">
        <v>713</v>
      </c>
      <c r="L87" s="49" t="s">
        <v>239</v>
      </c>
      <c r="M87" s="444">
        <v>3150</v>
      </c>
      <c r="N87" s="522"/>
      <c r="O87" s="471">
        <v>1575</v>
      </c>
      <c r="P87" s="471">
        <v>1575</v>
      </c>
      <c r="Q87" s="471"/>
      <c r="R87" s="471"/>
      <c r="S87" s="471"/>
      <c r="T87" s="472"/>
      <c r="U87" s="488"/>
      <c r="V87" s="483">
        <f t="shared" si="3"/>
        <v>3150</v>
      </c>
    </row>
    <row r="88" spans="1:22" ht="26.25" customHeight="1">
      <c r="A88" s="56"/>
      <c r="B88" s="51"/>
      <c r="C88" s="576"/>
      <c r="D88" s="220"/>
      <c r="E88" s="103"/>
      <c r="F88" s="104"/>
      <c r="G88" s="104"/>
      <c r="H88" s="372"/>
      <c r="I88" s="186" t="s">
        <v>712</v>
      </c>
      <c r="J88" s="250">
        <v>6384000</v>
      </c>
      <c r="K88" s="137" t="s">
        <v>713</v>
      </c>
      <c r="L88" s="49" t="s">
        <v>239</v>
      </c>
      <c r="M88" s="444">
        <v>3192</v>
      </c>
      <c r="N88" s="417"/>
      <c r="O88" s="415">
        <v>1596</v>
      </c>
      <c r="P88" s="415">
        <v>1596</v>
      </c>
      <c r="Q88" s="415"/>
      <c r="R88" s="415"/>
      <c r="S88" s="415"/>
      <c r="T88" s="416"/>
      <c r="U88" s="488"/>
      <c r="V88" s="483">
        <f t="shared" si="3"/>
        <v>3192</v>
      </c>
    </row>
    <row r="89" spans="1:22" ht="26.25" customHeight="1">
      <c r="A89" s="56"/>
      <c r="B89" s="51"/>
      <c r="C89" s="576"/>
      <c r="D89" s="220"/>
      <c r="E89" s="103"/>
      <c r="F89" s="104"/>
      <c r="G89" s="104"/>
      <c r="H89" s="372"/>
      <c r="I89" s="186" t="s">
        <v>714</v>
      </c>
      <c r="J89" s="250">
        <v>6299000</v>
      </c>
      <c r="K89" s="137" t="s">
        <v>715</v>
      </c>
      <c r="L89" s="49" t="s">
        <v>239</v>
      </c>
      <c r="M89" s="444">
        <v>1575</v>
      </c>
      <c r="N89" s="417"/>
      <c r="O89" s="415">
        <v>788</v>
      </c>
      <c r="P89" s="415">
        <v>787</v>
      </c>
      <c r="Q89" s="415"/>
      <c r="R89" s="415"/>
      <c r="S89" s="415"/>
      <c r="T89" s="416"/>
      <c r="U89" s="488"/>
      <c r="V89" s="483">
        <f t="shared" si="3"/>
        <v>1575</v>
      </c>
    </row>
    <row r="90" spans="1:22" ht="26.25" customHeight="1">
      <c r="A90" s="56"/>
      <c r="B90" s="51"/>
      <c r="C90" s="576"/>
      <c r="D90" s="220"/>
      <c r="E90" s="103"/>
      <c r="F90" s="104"/>
      <c r="G90" s="104"/>
      <c r="H90" s="372"/>
      <c r="I90" s="186" t="s">
        <v>714</v>
      </c>
      <c r="J90" s="250">
        <v>6384000</v>
      </c>
      <c r="K90" s="137" t="s">
        <v>715</v>
      </c>
      <c r="L90" s="49" t="s">
        <v>239</v>
      </c>
      <c r="M90" s="444">
        <v>1596</v>
      </c>
      <c r="N90" s="417"/>
      <c r="O90" s="415">
        <v>798</v>
      </c>
      <c r="P90" s="415">
        <v>798</v>
      </c>
      <c r="Q90" s="415"/>
      <c r="R90" s="415"/>
      <c r="S90" s="415"/>
      <c r="T90" s="416"/>
      <c r="U90" s="488"/>
      <c r="V90" s="483">
        <f t="shared" si="3"/>
        <v>1596</v>
      </c>
    </row>
    <row r="91" spans="1:22" ht="26.25" customHeight="1">
      <c r="A91" s="56"/>
      <c r="B91" s="51"/>
      <c r="C91" s="576"/>
      <c r="D91" s="220"/>
      <c r="E91" s="103"/>
      <c r="F91" s="104"/>
      <c r="G91" s="104"/>
      <c r="H91" s="372"/>
      <c r="I91" s="186" t="s">
        <v>716</v>
      </c>
      <c r="J91" s="250">
        <v>15000</v>
      </c>
      <c r="K91" s="135" t="s">
        <v>717</v>
      </c>
      <c r="L91" s="49" t="s">
        <v>239</v>
      </c>
      <c r="M91" s="444">
        <v>2520</v>
      </c>
      <c r="N91" s="417"/>
      <c r="O91" s="415">
        <v>1260</v>
      </c>
      <c r="P91" s="415">
        <v>1260</v>
      </c>
      <c r="Q91" s="415"/>
      <c r="R91" s="415"/>
      <c r="S91" s="415"/>
      <c r="T91" s="416"/>
      <c r="U91" s="488"/>
      <c r="V91" s="483">
        <f t="shared" si="3"/>
        <v>2520</v>
      </c>
    </row>
    <row r="92" spans="1:22" ht="26.25" customHeight="1">
      <c r="A92" s="56"/>
      <c r="B92" s="51"/>
      <c r="C92" s="576"/>
      <c r="D92" s="220"/>
      <c r="E92" s="103"/>
      <c r="F92" s="104"/>
      <c r="G92" s="104"/>
      <c r="H92" s="372"/>
      <c r="I92" s="186" t="s">
        <v>718</v>
      </c>
      <c r="J92" s="250">
        <v>100000</v>
      </c>
      <c r="K92" s="135" t="s">
        <v>719</v>
      </c>
      <c r="L92" s="49" t="s">
        <v>239</v>
      </c>
      <c r="M92" s="444">
        <v>600</v>
      </c>
      <c r="N92" s="436"/>
      <c r="O92" s="484">
        <v>300</v>
      </c>
      <c r="P92" s="484">
        <v>300</v>
      </c>
      <c r="Q92" s="484"/>
      <c r="R92" s="484"/>
      <c r="S92" s="484"/>
      <c r="T92" s="555"/>
      <c r="U92" s="488"/>
      <c r="V92" s="483">
        <f t="shared" si="3"/>
        <v>600</v>
      </c>
    </row>
    <row r="93" spans="1:22" ht="26.25" customHeight="1">
      <c r="A93" s="56"/>
      <c r="B93" s="51"/>
      <c r="C93" s="576"/>
      <c r="D93" s="220"/>
      <c r="E93" s="103"/>
      <c r="F93" s="104"/>
      <c r="G93" s="104"/>
      <c r="H93" s="372"/>
      <c r="I93" s="186" t="s">
        <v>718</v>
      </c>
      <c r="J93" s="250">
        <v>150000</v>
      </c>
      <c r="K93" s="135" t="s">
        <v>719</v>
      </c>
      <c r="L93" s="49" t="s">
        <v>239</v>
      </c>
      <c r="M93" s="444">
        <v>900</v>
      </c>
      <c r="N93" s="436"/>
      <c r="O93" s="484">
        <v>450</v>
      </c>
      <c r="P93" s="484">
        <v>450</v>
      </c>
      <c r="Q93" s="484"/>
      <c r="R93" s="484"/>
      <c r="S93" s="484"/>
      <c r="T93" s="555"/>
      <c r="U93" s="488"/>
      <c r="V93" s="483">
        <f t="shared" si="3"/>
        <v>900</v>
      </c>
    </row>
    <row r="94" spans="1:22" ht="26.25" customHeight="1">
      <c r="A94" s="56"/>
      <c r="B94" s="51"/>
      <c r="C94" s="576"/>
      <c r="D94" s="220"/>
      <c r="E94" s="103"/>
      <c r="F94" s="104"/>
      <c r="G94" s="104"/>
      <c r="H94" s="372"/>
      <c r="I94" s="186" t="s">
        <v>720</v>
      </c>
      <c r="J94" s="250">
        <v>70000</v>
      </c>
      <c r="K94" s="135" t="s">
        <v>721</v>
      </c>
      <c r="L94" s="49" t="s">
        <v>239</v>
      </c>
      <c r="M94" s="444">
        <v>840</v>
      </c>
      <c r="N94" s="417"/>
      <c r="O94" s="415">
        <v>420</v>
      </c>
      <c r="P94" s="415">
        <v>420</v>
      </c>
      <c r="Q94" s="415"/>
      <c r="R94" s="415"/>
      <c r="S94" s="415"/>
      <c r="T94" s="416"/>
      <c r="U94" s="488"/>
      <c r="V94" s="483">
        <f t="shared" si="3"/>
        <v>840</v>
      </c>
    </row>
    <row r="95" spans="1:22" ht="26.25" customHeight="1">
      <c r="A95" s="56"/>
      <c r="B95" s="51"/>
      <c r="C95" s="576"/>
      <c r="D95" s="220"/>
      <c r="E95" s="103"/>
      <c r="F95" s="104"/>
      <c r="G95" s="104"/>
      <c r="H95" s="372"/>
      <c r="I95" s="186" t="s">
        <v>722</v>
      </c>
      <c r="J95" s="250">
        <v>50000</v>
      </c>
      <c r="K95" s="135" t="s">
        <v>721</v>
      </c>
      <c r="L95" s="49" t="s">
        <v>239</v>
      </c>
      <c r="M95" s="444">
        <v>600</v>
      </c>
      <c r="N95" s="417"/>
      <c r="O95" s="415">
        <v>300</v>
      </c>
      <c r="P95" s="415">
        <v>300</v>
      </c>
      <c r="Q95" s="415"/>
      <c r="R95" s="415"/>
      <c r="S95" s="415"/>
      <c r="T95" s="416"/>
      <c r="U95" s="488"/>
      <c r="V95" s="483">
        <f t="shared" si="3"/>
        <v>600</v>
      </c>
    </row>
    <row r="96" spans="1:22" ht="26.25" customHeight="1">
      <c r="A96" s="56"/>
      <c r="B96" s="51"/>
      <c r="C96" s="576"/>
      <c r="D96" s="220"/>
      <c r="E96" s="103"/>
      <c r="F96" s="104"/>
      <c r="G96" s="104"/>
      <c r="H96" s="372"/>
      <c r="I96" s="186" t="s">
        <v>722</v>
      </c>
      <c r="J96" s="250">
        <v>50000</v>
      </c>
      <c r="K96" s="135" t="s">
        <v>721</v>
      </c>
      <c r="L96" s="49" t="s">
        <v>239</v>
      </c>
      <c r="M96" s="444">
        <v>600</v>
      </c>
      <c r="N96" s="417"/>
      <c r="O96" s="415">
        <v>300</v>
      </c>
      <c r="P96" s="415">
        <v>300</v>
      </c>
      <c r="Q96" s="415"/>
      <c r="R96" s="415"/>
      <c r="S96" s="415"/>
      <c r="T96" s="416"/>
      <c r="U96" s="488"/>
      <c r="V96" s="483">
        <f t="shared" si="3"/>
        <v>600</v>
      </c>
    </row>
    <row r="97" spans="1:22" ht="26.25" customHeight="1">
      <c r="A97" s="56"/>
      <c r="B97" s="51"/>
      <c r="C97" s="576"/>
      <c r="D97" s="220"/>
      <c r="E97" s="103"/>
      <c r="F97" s="104"/>
      <c r="G97" s="104"/>
      <c r="H97" s="372"/>
      <c r="I97" s="186" t="s">
        <v>723</v>
      </c>
      <c r="J97" s="250">
        <v>50000</v>
      </c>
      <c r="K97" s="135" t="s">
        <v>719</v>
      </c>
      <c r="L97" s="49" t="s">
        <v>239</v>
      </c>
      <c r="M97" s="444">
        <v>300</v>
      </c>
      <c r="N97" s="417"/>
      <c r="O97" s="415">
        <v>150</v>
      </c>
      <c r="P97" s="415">
        <v>150</v>
      </c>
      <c r="Q97" s="415"/>
      <c r="R97" s="415"/>
      <c r="S97" s="415"/>
      <c r="T97" s="416"/>
      <c r="U97" s="488"/>
      <c r="V97" s="483">
        <f t="shared" si="3"/>
        <v>300</v>
      </c>
    </row>
    <row r="98" spans="1:22" ht="26.25" customHeight="1">
      <c r="A98" s="56"/>
      <c r="B98" s="51"/>
      <c r="C98" s="576"/>
      <c r="D98" s="220"/>
      <c r="E98" s="103"/>
      <c r="F98" s="104"/>
      <c r="G98" s="104"/>
      <c r="H98" s="372"/>
      <c r="I98" s="186" t="s">
        <v>724</v>
      </c>
      <c r="J98" s="250">
        <v>350000</v>
      </c>
      <c r="K98" s="135" t="s">
        <v>721</v>
      </c>
      <c r="L98" s="49" t="s">
        <v>239</v>
      </c>
      <c r="M98" s="444">
        <v>4200</v>
      </c>
      <c r="N98" s="417"/>
      <c r="O98" s="415">
        <v>2100</v>
      </c>
      <c r="P98" s="415">
        <v>2100</v>
      </c>
      <c r="Q98" s="415"/>
      <c r="R98" s="415"/>
      <c r="S98" s="415"/>
      <c r="T98" s="416"/>
      <c r="U98" s="488"/>
      <c r="V98" s="483">
        <f t="shared" si="3"/>
        <v>4200</v>
      </c>
    </row>
    <row r="99" spans="1:22" ht="26.25" customHeight="1">
      <c r="A99" s="56"/>
      <c r="B99" s="52"/>
      <c r="C99" s="577"/>
      <c r="D99" s="223"/>
      <c r="E99" s="109"/>
      <c r="F99" s="110"/>
      <c r="G99" s="110"/>
      <c r="H99" s="374"/>
      <c r="I99" s="193" t="s">
        <v>725</v>
      </c>
      <c r="J99" s="261">
        <v>100000</v>
      </c>
      <c r="K99" s="139" t="s">
        <v>721</v>
      </c>
      <c r="L99" s="50" t="s">
        <v>239</v>
      </c>
      <c r="M99" s="461">
        <v>1200</v>
      </c>
      <c r="N99" s="550"/>
      <c r="O99" s="432">
        <v>600</v>
      </c>
      <c r="P99" s="432">
        <v>600</v>
      </c>
      <c r="Q99" s="432"/>
      <c r="R99" s="432"/>
      <c r="S99" s="432"/>
      <c r="T99" s="433"/>
      <c r="U99" s="488"/>
      <c r="V99" s="483">
        <f t="shared" si="3"/>
        <v>1200</v>
      </c>
    </row>
    <row r="100" spans="1:22" ht="26.25" customHeight="1">
      <c r="A100" s="56"/>
      <c r="B100" s="57"/>
      <c r="C100" s="578"/>
      <c r="D100" s="303"/>
      <c r="E100" s="304"/>
      <c r="F100" s="305"/>
      <c r="G100" s="305"/>
      <c r="H100" s="375"/>
      <c r="I100" s="306" t="s">
        <v>726</v>
      </c>
      <c r="J100" s="307">
        <v>30000</v>
      </c>
      <c r="K100" s="309" t="s">
        <v>727</v>
      </c>
      <c r="L100" s="242" t="s">
        <v>239</v>
      </c>
      <c r="M100" s="514">
        <v>720</v>
      </c>
      <c r="N100" s="515"/>
      <c r="O100" s="469">
        <v>360</v>
      </c>
      <c r="P100" s="469">
        <v>360</v>
      </c>
      <c r="Q100" s="469"/>
      <c r="R100" s="469"/>
      <c r="S100" s="469"/>
      <c r="T100" s="470"/>
      <c r="U100" s="488"/>
      <c r="V100" s="483">
        <f t="shared" si="3"/>
        <v>720</v>
      </c>
    </row>
    <row r="101" spans="1:22" ht="26.25" customHeight="1">
      <c r="A101" s="56"/>
      <c r="B101" s="51"/>
      <c r="C101" s="576"/>
      <c r="D101" s="220"/>
      <c r="E101" s="103"/>
      <c r="F101" s="104"/>
      <c r="G101" s="104"/>
      <c r="H101" s="372"/>
      <c r="I101" s="186" t="s">
        <v>728</v>
      </c>
      <c r="J101" s="250">
        <v>100000</v>
      </c>
      <c r="K101" s="135" t="s">
        <v>729</v>
      </c>
      <c r="L101" s="49" t="s">
        <v>239</v>
      </c>
      <c r="M101" s="444">
        <v>7200</v>
      </c>
      <c r="N101" s="417"/>
      <c r="O101" s="415">
        <v>3600</v>
      </c>
      <c r="P101" s="415">
        <v>3600</v>
      </c>
      <c r="Q101" s="415"/>
      <c r="R101" s="415"/>
      <c r="S101" s="415"/>
      <c r="T101" s="416"/>
      <c r="U101" s="488"/>
      <c r="V101" s="483">
        <f t="shared" si="3"/>
        <v>7200</v>
      </c>
    </row>
    <row r="102" spans="1:22" ht="26.25" customHeight="1">
      <c r="A102" s="56"/>
      <c r="B102" s="51"/>
      <c r="C102" s="576"/>
      <c r="D102" s="220"/>
      <c r="E102" s="103"/>
      <c r="F102" s="104"/>
      <c r="G102" s="104"/>
      <c r="H102" s="372"/>
      <c r="I102" s="186" t="s">
        <v>730</v>
      </c>
      <c r="J102" s="263" t="s">
        <v>731</v>
      </c>
      <c r="K102" s="135" t="s">
        <v>732</v>
      </c>
      <c r="L102" s="49" t="s">
        <v>239</v>
      </c>
      <c r="M102" s="444">
        <v>7000</v>
      </c>
      <c r="N102" s="417"/>
      <c r="O102" s="415"/>
      <c r="P102" s="415"/>
      <c r="Q102" s="415"/>
      <c r="R102" s="415">
        <v>7000</v>
      </c>
      <c r="S102" s="415"/>
      <c r="T102" s="416"/>
      <c r="U102" s="488"/>
      <c r="V102" s="483">
        <f t="shared" si="3"/>
        <v>7000</v>
      </c>
    </row>
    <row r="103" spans="1:22" ht="26.25" customHeight="1">
      <c r="A103" s="56"/>
      <c r="B103" s="51"/>
      <c r="C103" s="576"/>
      <c r="D103" s="220"/>
      <c r="E103" s="103"/>
      <c r="F103" s="104"/>
      <c r="G103" s="104"/>
      <c r="H103" s="372"/>
      <c r="I103" s="185"/>
      <c r="J103" s="620"/>
      <c r="K103" s="134"/>
      <c r="L103" s="54"/>
      <c r="M103" s="443"/>
      <c r="N103" s="617"/>
      <c r="O103" s="618"/>
      <c r="P103" s="618"/>
      <c r="Q103" s="618"/>
      <c r="R103" s="618"/>
      <c r="S103" s="618"/>
      <c r="T103" s="619"/>
      <c r="U103" s="488"/>
      <c r="V103" s="483">
        <f t="shared" si="3"/>
        <v>0</v>
      </c>
    </row>
    <row r="104" spans="1:22" ht="26.25" customHeight="1">
      <c r="A104" s="56"/>
      <c r="B104" s="51"/>
      <c r="C104" s="576"/>
      <c r="D104" s="220"/>
      <c r="E104" s="103"/>
      <c r="F104" s="104"/>
      <c r="G104" s="104"/>
      <c r="H104" s="372"/>
      <c r="I104" s="239" t="s">
        <v>382</v>
      </c>
      <c r="J104" s="249"/>
      <c r="K104" s="134"/>
      <c r="L104" s="54"/>
      <c r="M104" s="443">
        <f>SUM(M105:M114)</f>
        <v>15247</v>
      </c>
      <c r="N104" s="436"/>
      <c r="O104" s="415">
        <f aca="true" t="shared" si="4" ref="O104:T104">SUM(O105:O114)</f>
        <v>7125</v>
      </c>
      <c r="P104" s="415">
        <f t="shared" si="4"/>
        <v>7122</v>
      </c>
      <c r="Q104" s="415">
        <f t="shared" si="4"/>
        <v>0</v>
      </c>
      <c r="R104" s="415">
        <f>SUM(R105:R114)</f>
        <v>1000</v>
      </c>
      <c r="S104" s="415">
        <f t="shared" si="4"/>
        <v>0</v>
      </c>
      <c r="T104" s="416">
        <f t="shared" si="4"/>
        <v>0</v>
      </c>
      <c r="U104" s="488"/>
      <c r="V104" s="483">
        <f t="shared" si="3"/>
        <v>15247</v>
      </c>
    </row>
    <row r="105" spans="1:22" ht="26.25" customHeight="1">
      <c r="A105" s="56"/>
      <c r="B105" s="51"/>
      <c r="C105" s="576"/>
      <c r="D105" s="220"/>
      <c r="E105" s="103"/>
      <c r="F105" s="104"/>
      <c r="G105" s="104"/>
      <c r="H105" s="372"/>
      <c r="I105" s="186" t="s">
        <v>733</v>
      </c>
      <c r="J105" s="250">
        <v>24636000</v>
      </c>
      <c r="K105" s="135" t="s">
        <v>734</v>
      </c>
      <c r="L105" s="49" t="s">
        <v>735</v>
      </c>
      <c r="M105" s="444">
        <v>4927</v>
      </c>
      <c r="N105" s="417"/>
      <c r="O105" s="415">
        <v>2464</v>
      </c>
      <c r="P105" s="415">
        <v>2463</v>
      </c>
      <c r="Q105" s="415"/>
      <c r="R105" s="415"/>
      <c r="S105" s="415"/>
      <c r="T105" s="416"/>
      <c r="U105" s="488"/>
      <c r="V105" s="483">
        <f t="shared" si="3"/>
        <v>4927</v>
      </c>
    </row>
    <row r="106" spans="1:22" ht="26.25" customHeight="1">
      <c r="A106" s="56"/>
      <c r="B106" s="51"/>
      <c r="C106" s="576"/>
      <c r="D106" s="220"/>
      <c r="E106" s="103"/>
      <c r="F106" s="104"/>
      <c r="G106" s="104"/>
      <c r="H106" s="372"/>
      <c r="I106" s="186" t="s">
        <v>736</v>
      </c>
      <c r="J106" s="250">
        <v>20000</v>
      </c>
      <c r="K106" s="135" t="s">
        <v>737</v>
      </c>
      <c r="L106" s="49" t="s">
        <v>735</v>
      </c>
      <c r="M106" s="444">
        <v>480</v>
      </c>
      <c r="N106" s="417"/>
      <c r="O106" s="415">
        <v>240</v>
      </c>
      <c r="P106" s="415">
        <v>240</v>
      </c>
      <c r="Q106" s="415"/>
      <c r="R106" s="415"/>
      <c r="S106" s="415"/>
      <c r="T106" s="416"/>
      <c r="U106" s="488"/>
      <c r="V106" s="483">
        <f t="shared" si="3"/>
        <v>480</v>
      </c>
    </row>
    <row r="107" spans="1:22" ht="26.25" customHeight="1">
      <c r="A107" s="56"/>
      <c r="B107" s="51"/>
      <c r="C107" s="576"/>
      <c r="D107" s="220"/>
      <c r="E107" s="103"/>
      <c r="F107" s="104"/>
      <c r="G107" s="104"/>
      <c r="H107" s="372"/>
      <c r="I107" s="186" t="s">
        <v>738</v>
      </c>
      <c r="J107" s="250">
        <v>2053000</v>
      </c>
      <c r="K107" s="135" t="s">
        <v>739</v>
      </c>
      <c r="L107" s="49" t="s">
        <v>735</v>
      </c>
      <c r="M107" s="444">
        <v>2053</v>
      </c>
      <c r="N107" s="417"/>
      <c r="O107" s="415">
        <v>1027</v>
      </c>
      <c r="P107" s="415">
        <v>1026</v>
      </c>
      <c r="Q107" s="415"/>
      <c r="R107" s="415"/>
      <c r="S107" s="415"/>
      <c r="T107" s="416"/>
      <c r="U107" s="488"/>
      <c r="V107" s="483">
        <f t="shared" si="3"/>
        <v>2053</v>
      </c>
    </row>
    <row r="108" spans="1:22" ht="26.25" customHeight="1">
      <c r="A108" s="56"/>
      <c r="B108" s="51"/>
      <c r="C108" s="576"/>
      <c r="D108" s="220"/>
      <c r="E108" s="103"/>
      <c r="F108" s="104"/>
      <c r="G108" s="104"/>
      <c r="H108" s="372"/>
      <c r="I108" s="186" t="s">
        <v>740</v>
      </c>
      <c r="J108" s="250">
        <v>2053000</v>
      </c>
      <c r="K108" s="137" t="s">
        <v>741</v>
      </c>
      <c r="L108" s="49" t="s">
        <v>735</v>
      </c>
      <c r="M108" s="444">
        <v>1027</v>
      </c>
      <c r="N108" s="417"/>
      <c r="O108" s="415">
        <v>514</v>
      </c>
      <c r="P108" s="415">
        <v>513</v>
      </c>
      <c r="Q108" s="415"/>
      <c r="R108" s="415"/>
      <c r="S108" s="415"/>
      <c r="T108" s="416"/>
      <c r="U108" s="488"/>
      <c r="V108" s="483">
        <f t="shared" si="3"/>
        <v>1027</v>
      </c>
    </row>
    <row r="109" spans="1:22" ht="26.25" customHeight="1">
      <c r="A109" s="56"/>
      <c r="B109" s="51"/>
      <c r="C109" s="576"/>
      <c r="D109" s="220"/>
      <c r="E109" s="103"/>
      <c r="F109" s="104"/>
      <c r="G109" s="104"/>
      <c r="H109" s="372"/>
      <c r="I109" s="186" t="s">
        <v>742</v>
      </c>
      <c r="J109" s="250">
        <v>15000</v>
      </c>
      <c r="K109" s="135" t="s">
        <v>737</v>
      </c>
      <c r="L109" s="49" t="s">
        <v>735</v>
      </c>
      <c r="M109" s="444">
        <v>360</v>
      </c>
      <c r="N109" s="417"/>
      <c r="O109" s="415">
        <v>180</v>
      </c>
      <c r="P109" s="415">
        <v>180</v>
      </c>
      <c r="Q109" s="415"/>
      <c r="R109" s="415"/>
      <c r="S109" s="415"/>
      <c r="T109" s="416"/>
      <c r="U109" s="488"/>
      <c r="V109" s="483">
        <f t="shared" si="3"/>
        <v>360</v>
      </c>
    </row>
    <row r="110" spans="1:22" ht="26.25" customHeight="1">
      <c r="A110" s="56"/>
      <c r="B110" s="51"/>
      <c r="C110" s="576"/>
      <c r="D110" s="220"/>
      <c r="E110" s="103"/>
      <c r="F110" s="104"/>
      <c r="G110" s="104"/>
      <c r="H110" s="372"/>
      <c r="I110" s="186" t="s">
        <v>743</v>
      </c>
      <c r="J110" s="250">
        <v>150000</v>
      </c>
      <c r="K110" s="135" t="s">
        <v>744</v>
      </c>
      <c r="L110" s="49" t="s">
        <v>735</v>
      </c>
      <c r="M110" s="444">
        <v>1800</v>
      </c>
      <c r="N110" s="417"/>
      <c r="O110" s="415">
        <v>900</v>
      </c>
      <c r="P110" s="415">
        <v>900</v>
      </c>
      <c r="Q110" s="415"/>
      <c r="R110" s="415"/>
      <c r="S110" s="415"/>
      <c r="T110" s="416"/>
      <c r="U110" s="488"/>
      <c r="V110" s="483">
        <f t="shared" si="3"/>
        <v>1800</v>
      </c>
    </row>
    <row r="111" spans="1:22" ht="26.25" customHeight="1">
      <c r="A111" s="56"/>
      <c r="B111" s="51"/>
      <c r="C111" s="576"/>
      <c r="D111" s="220"/>
      <c r="E111" s="103"/>
      <c r="F111" s="104"/>
      <c r="G111" s="104"/>
      <c r="H111" s="372"/>
      <c r="I111" s="186" t="s">
        <v>745</v>
      </c>
      <c r="J111" s="250">
        <v>50000</v>
      </c>
      <c r="K111" s="135" t="s">
        <v>744</v>
      </c>
      <c r="L111" s="49" t="s">
        <v>735</v>
      </c>
      <c r="M111" s="444">
        <v>600</v>
      </c>
      <c r="N111" s="436"/>
      <c r="O111" s="484">
        <v>300</v>
      </c>
      <c r="P111" s="484">
        <v>300</v>
      </c>
      <c r="Q111" s="484"/>
      <c r="R111" s="484"/>
      <c r="S111" s="484"/>
      <c r="T111" s="555"/>
      <c r="U111" s="488"/>
      <c r="V111" s="483">
        <f t="shared" si="3"/>
        <v>600</v>
      </c>
    </row>
    <row r="112" spans="1:22" ht="26.25" customHeight="1">
      <c r="A112" s="56"/>
      <c r="B112" s="51"/>
      <c r="C112" s="576"/>
      <c r="D112" s="220"/>
      <c r="E112" s="103"/>
      <c r="F112" s="104"/>
      <c r="G112" s="104"/>
      <c r="H112" s="372"/>
      <c r="I112" s="186" t="s">
        <v>746</v>
      </c>
      <c r="J112" s="250">
        <v>50000</v>
      </c>
      <c r="K112" s="135" t="s">
        <v>744</v>
      </c>
      <c r="L112" s="49" t="s">
        <v>735</v>
      </c>
      <c r="M112" s="444">
        <v>600</v>
      </c>
      <c r="N112" s="417"/>
      <c r="O112" s="415">
        <v>300</v>
      </c>
      <c r="P112" s="415">
        <v>300</v>
      </c>
      <c r="Q112" s="415"/>
      <c r="R112" s="415"/>
      <c r="S112" s="415"/>
      <c r="T112" s="416"/>
      <c r="U112" s="488"/>
      <c r="V112" s="483">
        <f t="shared" si="3"/>
        <v>600</v>
      </c>
    </row>
    <row r="113" spans="1:22" ht="26.25" customHeight="1">
      <c r="A113" s="56"/>
      <c r="B113" s="51"/>
      <c r="C113" s="576"/>
      <c r="D113" s="220"/>
      <c r="E113" s="103"/>
      <c r="F113" s="104"/>
      <c r="G113" s="104"/>
      <c r="H113" s="372"/>
      <c r="I113" s="186" t="s">
        <v>747</v>
      </c>
      <c r="J113" s="250">
        <v>100000</v>
      </c>
      <c r="K113" s="135" t="s">
        <v>737</v>
      </c>
      <c r="L113" s="49" t="s">
        <v>735</v>
      </c>
      <c r="M113" s="444">
        <v>2400</v>
      </c>
      <c r="N113" s="417"/>
      <c r="O113" s="415">
        <v>1200</v>
      </c>
      <c r="P113" s="415">
        <v>1200</v>
      </c>
      <c r="Q113" s="415"/>
      <c r="R113" s="415"/>
      <c r="S113" s="415"/>
      <c r="T113" s="416"/>
      <c r="U113" s="488"/>
      <c r="V113" s="483">
        <f t="shared" si="3"/>
        <v>2400</v>
      </c>
    </row>
    <row r="114" spans="1:22" ht="26.25" customHeight="1">
      <c r="A114" s="56"/>
      <c r="B114" s="51"/>
      <c r="C114" s="576"/>
      <c r="D114" s="220"/>
      <c r="E114" s="103"/>
      <c r="F114" s="104"/>
      <c r="G114" s="104"/>
      <c r="H114" s="372"/>
      <c r="I114" s="186" t="s">
        <v>748</v>
      </c>
      <c r="J114" s="263" t="s">
        <v>749</v>
      </c>
      <c r="K114" s="135" t="s">
        <v>750</v>
      </c>
      <c r="L114" s="49" t="s">
        <v>735</v>
      </c>
      <c r="M114" s="444">
        <v>1000</v>
      </c>
      <c r="N114" s="417"/>
      <c r="O114" s="415"/>
      <c r="P114" s="415"/>
      <c r="Q114" s="415"/>
      <c r="R114" s="415">
        <v>1000</v>
      </c>
      <c r="S114" s="415"/>
      <c r="T114" s="416"/>
      <c r="U114" s="488"/>
      <c r="V114" s="483">
        <f t="shared" si="3"/>
        <v>1000</v>
      </c>
    </row>
    <row r="115" spans="1:22" ht="26.25" customHeight="1">
      <c r="A115" s="56"/>
      <c r="B115" s="52"/>
      <c r="C115" s="577"/>
      <c r="D115" s="223"/>
      <c r="E115" s="109"/>
      <c r="F115" s="110"/>
      <c r="G115" s="110"/>
      <c r="H115" s="374"/>
      <c r="I115" s="193"/>
      <c r="J115" s="557"/>
      <c r="K115" s="139"/>
      <c r="L115" s="50"/>
      <c r="M115" s="461"/>
      <c r="N115" s="550"/>
      <c r="O115" s="432"/>
      <c r="P115" s="432"/>
      <c r="Q115" s="432"/>
      <c r="R115" s="432"/>
      <c r="S115" s="432"/>
      <c r="T115" s="433"/>
      <c r="U115" s="488"/>
      <c r="V115" s="483">
        <f t="shared" si="3"/>
        <v>0</v>
      </c>
    </row>
    <row r="116" spans="1:22" ht="26.25" customHeight="1">
      <c r="A116" s="56"/>
      <c r="B116" s="57"/>
      <c r="C116" s="578"/>
      <c r="D116" s="303"/>
      <c r="E116" s="304"/>
      <c r="F116" s="305"/>
      <c r="G116" s="305"/>
      <c r="H116" s="375"/>
      <c r="I116" s="556" t="s">
        <v>498</v>
      </c>
      <c r="J116" s="307"/>
      <c r="K116" s="309"/>
      <c r="L116" s="242"/>
      <c r="M116" s="514">
        <f>SUM(M117:M125)</f>
        <v>5154</v>
      </c>
      <c r="N116" s="515"/>
      <c r="O116" s="469">
        <f aca="true" t="shared" si="5" ref="O116:T116">SUM(O117:O126)</f>
        <v>2578</v>
      </c>
      <c r="P116" s="469">
        <f t="shared" si="5"/>
        <v>2576</v>
      </c>
      <c r="Q116" s="469">
        <f t="shared" si="5"/>
        <v>0</v>
      </c>
      <c r="R116" s="469">
        <f t="shared" si="5"/>
        <v>0</v>
      </c>
      <c r="S116" s="469">
        <f t="shared" si="5"/>
        <v>0</v>
      </c>
      <c r="T116" s="470">
        <f t="shared" si="5"/>
        <v>0</v>
      </c>
      <c r="U116" s="488"/>
      <c r="V116" s="483">
        <f t="shared" si="3"/>
        <v>5154</v>
      </c>
    </row>
    <row r="117" spans="1:22" ht="26.25" customHeight="1">
      <c r="A117" s="56"/>
      <c r="B117" s="51"/>
      <c r="C117" s="576"/>
      <c r="D117" s="220"/>
      <c r="E117" s="103"/>
      <c r="F117" s="104"/>
      <c r="G117" s="104"/>
      <c r="H117" s="372"/>
      <c r="I117" s="186" t="s">
        <v>400</v>
      </c>
      <c r="J117" s="250">
        <v>9582000</v>
      </c>
      <c r="K117" s="135" t="s">
        <v>401</v>
      </c>
      <c r="L117" s="49" t="s">
        <v>143</v>
      </c>
      <c r="M117" s="444">
        <v>1916</v>
      </c>
      <c r="N117" s="436"/>
      <c r="O117" s="484">
        <v>958</v>
      </c>
      <c r="P117" s="484">
        <v>958</v>
      </c>
      <c r="Q117" s="484"/>
      <c r="R117" s="484"/>
      <c r="S117" s="484"/>
      <c r="T117" s="555"/>
      <c r="U117" s="488"/>
      <c r="V117" s="483">
        <f t="shared" si="3"/>
        <v>1916</v>
      </c>
    </row>
    <row r="118" spans="1:22" ht="26.25" customHeight="1">
      <c r="A118" s="56"/>
      <c r="B118" s="51"/>
      <c r="C118" s="576"/>
      <c r="D118" s="220"/>
      <c r="E118" s="103"/>
      <c r="F118" s="104"/>
      <c r="G118" s="104"/>
      <c r="H118" s="372"/>
      <c r="I118" s="186" t="s">
        <v>403</v>
      </c>
      <c r="J118" s="250">
        <v>20000</v>
      </c>
      <c r="K118" s="135" t="s">
        <v>497</v>
      </c>
      <c r="L118" s="49" t="s">
        <v>143</v>
      </c>
      <c r="M118" s="444">
        <v>240</v>
      </c>
      <c r="N118" s="436"/>
      <c r="O118" s="484">
        <v>120</v>
      </c>
      <c r="P118" s="484">
        <v>120</v>
      </c>
      <c r="Q118" s="484"/>
      <c r="R118" s="484"/>
      <c r="S118" s="484"/>
      <c r="T118" s="555"/>
      <c r="U118" s="488"/>
      <c r="V118" s="483">
        <f t="shared" si="3"/>
        <v>240</v>
      </c>
    </row>
    <row r="119" spans="1:22" ht="26.25" customHeight="1">
      <c r="A119" s="56"/>
      <c r="B119" s="51"/>
      <c r="C119" s="576"/>
      <c r="D119" s="220"/>
      <c r="E119" s="103"/>
      <c r="F119" s="104"/>
      <c r="G119" s="104"/>
      <c r="H119" s="372"/>
      <c r="I119" s="186" t="s">
        <v>405</v>
      </c>
      <c r="J119" s="250">
        <v>784000</v>
      </c>
      <c r="K119" s="135" t="s">
        <v>406</v>
      </c>
      <c r="L119" s="49" t="s">
        <v>143</v>
      </c>
      <c r="M119" s="444">
        <v>392</v>
      </c>
      <c r="N119" s="417"/>
      <c r="O119" s="415">
        <v>196</v>
      </c>
      <c r="P119" s="415">
        <v>196</v>
      </c>
      <c r="Q119" s="415"/>
      <c r="R119" s="415"/>
      <c r="S119" s="415"/>
      <c r="T119" s="416"/>
      <c r="U119" s="488"/>
      <c r="V119" s="483">
        <f t="shared" si="3"/>
        <v>392</v>
      </c>
    </row>
    <row r="120" spans="1:22" ht="26.25" customHeight="1">
      <c r="A120" s="56"/>
      <c r="B120" s="51"/>
      <c r="C120" s="576"/>
      <c r="D120" s="220"/>
      <c r="E120" s="103"/>
      <c r="F120" s="104"/>
      <c r="G120" s="104"/>
      <c r="H120" s="372"/>
      <c r="I120" s="186" t="s">
        <v>405</v>
      </c>
      <c r="J120" s="250">
        <v>813000</v>
      </c>
      <c r="K120" s="137" t="s">
        <v>406</v>
      </c>
      <c r="L120" s="49" t="s">
        <v>143</v>
      </c>
      <c r="M120" s="444">
        <v>407</v>
      </c>
      <c r="N120" s="417"/>
      <c r="O120" s="415">
        <v>204</v>
      </c>
      <c r="P120" s="415">
        <v>203</v>
      </c>
      <c r="Q120" s="415"/>
      <c r="R120" s="415"/>
      <c r="S120" s="415"/>
      <c r="T120" s="416"/>
      <c r="U120" s="488"/>
      <c r="V120" s="483">
        <f t="shared" si="3"/>
        <v>407</v>
      </c>
    </row>
    <row r="121" spans="1:22" ht="26.25" customHeight="1">
      <c r="A121" s="56"/>
      <c r="B121" s="51"/>
      <c r="C121" s="576"/>
      <c r="D121" s="220"/>
      <c r="E121" s="103"/>
      <c r="F121" s="104"/>
      <c r="G121" s="104"/>
      <c r="H121" s="372"/>
      <c r="I121" s="186" t="s">
        <v>407</v>
      </c>
      <c r="J121" s="250">
        <v>784000</v>
      </c>
      <c r="K121" s="137" t="s">
        <v>408</v>
      </c>
      <c r="L121" s="49" t="s">
        <v>143</v>
      </c>
      <c r="M121" s="444">
        <v>196</v>
      </c>
      <c r="N121" s="436"/>
      <c r="O121" s="484">
        <v>98</v>
      </c>
      <c r="P121" s="484">
        <v>98</v>
      </c>
      <c r="Q121" s="484"/>
      <c r="R121" s="484"/>
      <c r="S121" s="484"/>
      <c r="T121" s="555"/>
      <c r="U121" s="488"/>
      <c r="V121" s="483">
        <f t="shared" si="3"/>
        <v>196</v>
      </c>
    </row>
    <row r="122" spans="1:22" ht="26.25" customHeight="1">
      <c r="A122" s="56"/>
      <c r="B122" s="51"/>
      <c r="C122" s="576"/>
      <c r="D122" s="220"/>
      <c r="E122" s="103"/>
      <c r="F122" s="104"/>
      <c r="G122" s="104"/>
      <c r="H122" s="372"/>
      <c r="I122" s="186" t="s">
        <v>407</v>
      </c>
      <c r="J122" s="250">
        <v>813000</v>
      </c>
      <c r="K122" s="137" t="s">
        <v>408</v>
      </c>
      <c r="L122" s="49" t="s">
        <v>143</v>
      </c>
      <c r="M122" s="444">
        <v>203</v>
      </c>
      <c r="N122" s="436"/>
      <c r="O122" s="484">
        <v>102</v>
      </c>
      <c r="P122" s="484">
        <v>101</v>
      </c>
      <c r="Q122" s="484"/>
      <c r="R122" s="484"/>
      <c r="S122" s="484"/>
      <c r="T122" s="555"/>
      <c r="U122" s="488"/>
      <c r="V122" s="483">
        <f t="shared" si="3"/>
        <v>203</v>
      </c>
    </row>
    <row r="123" spans="1:22" ht="26.25" customHeight="1">
      <c r="A123" s="56"/>
      <c r="B123" s="51"/>
      <c r="C123" s="576"/>
      <c r="D123" s="220"/>
      <c r="E123" s="103"/>
      <c r="F123" s="104"/>
      <c r="G123" s="104"/>
      <c r="H123" s="372"/>
      <c r="I123" s="186" t="s">
        <v>409</v>
      </c>
      <c r="J123" s="250"/>
      <c r="K123" s="135"/>
      <c r="L123" s="49" t="s">
        <v>143</v>
      </c>
      <c r="M123" s="444">
        <f>J123*3*12/1000</f>
        <v>0</v>
      </c>
      <c r="N123" s="417"/>
      <c r="O123" s="415">
        <v>0</v>
      </c>
      <c r="P123" s="415">
        <v>0</v>
      </c>
      <c r="Q123" s="415"/>
      <c r="R123" s="415"/>
      <c r="S123" s="415"/>
      <c r="T123" s="416"/>
      <c r="U123" s="488"/>
      <c r="V123" s="483">
        <f t="shared" si="3"/>
        <v>0</v>
      </c>
    </row>
    <row r="124" spans="1:22" ht="26.25" customHeight="1">
      <c r="A124" s="56"/>
      <c r="B124" s="51"/>
      <c r="C124" s="576"/>
      <c r="D124" s="220"/>
      <c r="E124" s="103"/>
      <c r="F124" s="104"/>
      <c r="G124" s="104"/>
      <c r="H124" s="372"/>
      <c r="I124" s="186" t="s">
        <v>410</v>
      </c>
      <c r="J124" s="250">
        <v>50000</v>
      </c>
      <c r="K124" s="135" t="s">
        <v>411</v>
      </c>
      <c r="L124" s="49" t="s">
        <v>143</v>
      </c>
      <c r="M124" s="444">
        <v>600</v>
      </c>
      <c r="N124" s="417"/>
      <c r="O124" s="415">
        <v>300</v>
      </c>
      <c r="P124" s="415">
        <v>300</v>
      </c>
      <c r="Q124" s="415"/>
      <c r="R124" s="415"/>
      <c r="S124" s="415"/>
      <c r="T124" s="416"/>
      <c r="U124" s="488"/>
      <c r="V124" s="483">
        <f t="shared" si="3"/>
        <v>600</v>
      </c>
    </row>
    <row r="125" spans="1:22" ht="26.25" customHeight="1">
      <c r="A125" s="56"/>
      <c r="B125" s="51"/>
      <c r="C125" s="576"/>
      <c r="D125" s="220"/>
      <c r="E125" s="103"/>
      <c r="F125" s="104"/>
      <c r="G125" s="104"/>
      <c r="H125" s="372"/>
      <c r="I125" s="186" t="s">
        <v>751</v>
      </c>
      <c r="J125" s="250">
        <v>100000</v>
      </c>
      <c r="K125" s="135" t="s">
        <v>497</v>
      </c>
      <c r="L125" s="49" t="s">
        <v>143</v>
      </c>
      <c r="M125" s="444">
        <v>1200</v>
      </c>
      <c r="N125" s="436"/>
      <c r="O125" s="484">
        <v>600</v>
      </c>
      <c r="P125" s="484">
        <v>600</v>
      </c>
      <c r="Q125" s="484"/>
      <c r="R125" s="484"/>
      <c r="S125" s="484"/>
      <c r="T125" s="555"/>
      <c r="U125" s="488"/>
      <c r="V125" s="483">
        <f t="shared" si="3"/>
        <v>1200</v>
      </c>
    </row>
    <row r="126" spans="1:22" ht="26.25" customHeight="1">
      <c r="A126" s="56"/>
      <c r="B126" s="51"/>
      <c r="C126" s="576"/>
      <c r="D126" s="220"/>
      <c r="E126" s="103"/>
      <c r="F126" s="104"/>
      <c r="G126" s="104"/>
      <c r="H126" s="372"/>
      <c r="I126" s="187"/>
      <c r="J126" s="354"/>
      <c r="K126" s="136"/>
      <c r="L126" s="55"/>
      <c r="M126" s="442"/>
      <c r="N126" s="436"/>
      <c r="O126" s="484"/>
      <c r="P126" s="484"/>
      <c r="Q126" s="484"/>
      <c r="R126" s="484"/>
      <c r="S126" s="484"/>
      <c r="T126" s="555"/>
      <c r="U126" s="488"/>
      <c r="V126" s="483">
        <f t="shared" si="3"/>
        <v>0</v>
      </c>
    </row>
    <row r="127" spans="1:22" ht="26.25" customHeight="1">
      <c r="A127" s="56"/>
      <c r="B127" s="297"/>
      <c r="C127" s="579"/>
      <c r="D127" s="221"/>
      <c r="E127" s="105"/>
      <c r="F127" s="106"/>
      <c r="G127" s="106"/>
      <c r="H127" s="376"/>
      <c r="I127" s="239" t="s">
        <v>757</v>
      </c>
      <c r="J127" s="249"/>
      <c r="K127" s="134"/>
      <c r="L127" s="54"/>
      <c r="M127" s="443">
        <f>SUM(M128:M134)</f>
        <v>5571</v>
      </c>
      <c r="N127" s="417"/>
      <c r="O127" s="415">
        <f aca="true" t="shared" si="6" ref="O127:T127">SUM(O128:O134)</f>
        <v>600</v>
      </c>
      <c r="P127" s="415">
        <f t="shared" si="6"/>
        <v>4971</v>
      </c>
      <c r="Q127" s="415">
        <f t="shared" si="6"/>
        <v>0</v>
      </c>
      <c r="R127" s="415">
        <f t="shared" si="6"/>
        <v>0</v>
      </c>
      <c r="S127" s="415">
        <f t="shared" si="6"/>
        <v>0</v>
      </c>
      <c r="T127" s="416">
        <f t="shared" si="6"/>
        <v>0</v>
      </c>
      <c r="U127" s="488"/>
      <c r="V127" s="483">
        <f t="shared" si="3"/>
        <v>5571</v>
      </c>
    </row>
    <row r="128" spans="1:22" ht="26.25" customHeight="1">
      <c r="A128" s="56"/>
      <c r="B128" s="51"/>
      <c r="C128" s="576"/>
      <c r="D128" s="220"/>
      <c r="E128" s="103"/>
      <c r="F128" s="104"/>
      <c r="G128" s="104"/>
      <c r="H128" s="372"/>
      <c r="I128" s="185" t="s">
        <v>400</v>
      </c>
      <c r="J128" s="249">
        <v>9756000</v>
      </c>
      <c r="K128" s="134" t="s">
        <v>401</v>
      </c>
      <c r="L128" s="54" t="s">
        <v>143</v>
      </c>
      <c r="M128" s="443">
        <v>1951</v>
      </c>
      <c r="N128" s="425"/>
      <c r="O128" s="406">
        <v>0</v>
      </c>
      <c r="P128" s="406">
        <v>1951</v>
      </c>
      <c r="Q128" s="406"/>
      <c r="R128" s="406"/>
      <c r="S128" s="406"/>
      <c r="T128" s="407"/>
      <c r="U128" s="488"/>
      <c r="V128" s="483">
        <f t="shared" si="3"/>
        <v>1951</v>
      </c>
    </row>
    <row r="129" spans="1:22" ht="26.25" customHeight="1">
      <c r="A129" s="56"/>
      <c r="B129" s="51"/>
      <c r="C129" s="576"/>
      <c r="D129" s="220"/>
      <c r="E129" s="103"/>
      <c r="F129" s="104"/>
      <c r="G129" s="104"/>
      <c r="H129" s="372"/>
      <c r="I129" s="186" t="s">
        <v>403</v>
      </c>
      <c r="J129" s="250">
        <v>20000</v>
      </c>
      <c r="K129" s="135" t="s">
        <v>497</v>
      </c>
      <c r="L129" s="49" t="s">
        <v>143</v>
      </c>
      <c r="M129" s="444">
        <v>240</v>
      </c>
      <c r="N129" s="417"/>
      <c r="O129" s="415">
        <v>0</v>
      </c>
      <c r="P129" s="415">
        <v>240</v>
      </c>
      <c r="Q129" s="415"/>
      <c r="R129" s="415"/>
      <c r="S129" s="415"/>
      <c r="T129" s="416"/>
      <c r="U129" s="488"/>
      <c r="V129" s="483">
        <f t="shared" si="3"/>
        <v>240</v>
      </c>
    </row>
    <row r="130" spans="1:22" ht="26.25" customHeight="1">
      <c r="A130" s="56"/>
      <c r="B130" s="51"/>
      <c r="C130" s="576"/>
      <c r="D130" s="220"/>
      <c r="E130" s="103"/>
      <c r="F130" s="104"/>
      <c r="G130" s="104"/>
      <c r="H130" s="372"/>
      <c r="I130" s="186" t="s">
        <v>405</v>
      </c>
      <c r="J130" s="250">
        <v>813000</v>
      </c>
      <c r="K130" s="135" t="s">
        <v>752</v>
      </c>
      <c r="L130" s="49" t="s">
        <v>143</v>
      </c>
      <c r="M130" s="444">
        <v>813</v>
      </c>
      <c r="N130" s="417"/>
      <c r="O130" s="415">
        <v>0</v>
      </c>
      <c r="P130" s="415">
        <v>813</v>
      </c>
      <c r="Q130" s="415"/>
      <c r="R130" s="415"/>
      <c r="S130" s="415"/>
      <c r="T130" s="416"/>
      <c r="U130" s="488"/>
      <c r="V130" s="483">
        <f t="shared" si="3"/>
        <v>813</v>
      </c>
    </row>
    <row r="131" spans="1:22" ht="26.25" customHeight="1">
      <c r="A131" s="56"/>
      <c r="B131" s="52"/>
      <c r="C131" s="577"/>
      <c r="D131" s="223"/>
      <c r="E131" s="109"/>
      <c r="F131" s="110"/>
      <c r="G131" s="110"/>
      <c r="H131" s="374"/>
      <c r="I131" s="193" t="s">
        <v>407</v>
      </c>
      <c r="J131" s="261">
        <v>813000</v>
      </c>
      <c r="K131" s="640" t="s">
        <v>753</v>
      </c>
      <c r="L131" s="50" t="s">
        <v>143</v>
      </c>
      <c r="M131" s="461">
        <v>407</v>
      </c>
      <c r="N131" s="641"/>
      <c r="O131" s="438">
        <v>0</v>
      </c>
      <c r="P131" s="438">
        <v>407</v>
      </c>
      <c r="Q131" s="438"/>
      <c r="R131" s="438"/>
      <c r="S131" s="438"/>
      <c r="T131" s="465"/>
      <c r="U131" s="488"/>
      <c r="V131" s="483">
        <f t="shared" si="3"/>
        <v>407</v>
      </c>
    </row>
    <row r="132" spans="1:22" ht="26.25" customHeight="1">
      <c r="A132" s="56"/>
      <c r="B132" s="57"/>
      <c r="C132" s="578"/>
      <c r="D132" s="303"/>
      <c r="E132" s="304"/>
      <c r="F132" s="305"/>
      <c r="G132" s="305"/>
      <c r="H132" s="375"/>
      <c r="I132" s="306" t="s">
        <v>409</v>
      </c>
      <c r="J132" s="307">
        <v>15000</v>
      </c>
      <c r="K132" s="309" t="s">
        <v>484</v>
      </c>
      <c r="L132" s="242" t="s">
        <v>143</v>
      </c>
      <c r="M132" s="514">
        <v>360</v>
      </c>
      <c r="N132" s="553"/>
      <c r="O132" s="554">
        <v>0</v>
      </c>
      <c r="P132" s="554">
        <v>360</v>
      </c>
      <c r="Q132" s="554"/>
      <c r="R132" s="554"/>
      <c r="S132" s="554"/>
      <c r="T132" s="479"/>
      <c r="U132" s="488"/>
      <c r="V132" s="483">
        <f t="shared" si="3"/>
        <v>360</v>
      </c>
    </row>
    <row r="133" spans="1:22" ht="26.25" customHeight="1">
      <c r="A133" s="56"/>
      <c r="B133" s="51"/>
      <c r="C133" s="576"/>
      <c r="D133" s="220"/>
      <c r="E133" s="103"/>
      <c r="F133" s="104"/>
      <c r="G133" s="104"/>
      <c r="H133" s="372"/>
      <c r="I133" s="186" t="s">
        <v>410</v>
      </c>
      <c r="J133" s="250">
        <v>50000</v>
      </c>
      <c r="K133" s="135" t="s">
        <v>411</v>
      </c>
      <c r="L133" s="49" t="s">
        <v>143</v>
      </c>
      <c r="M133" s="444">
        <v>600</v>
      </c>
      <c r="N133" s="417"/>
      <c r="O133" s="415">
        <v>0</v>
      </c>
      <c r="P133" s="415">
        <v>600</v>
      </c>
      <c r="Q133" s="415"/>
      <c r="R133" s="415"/>
      <c r="S133" s="415"/>
      <c r="T133" s="416"/>
      <c r="U133" s="488"/>
      <c r="V133" s="483">
        <f t="shared" si="3"/>
        <v>600</v>
      </c>
    </row>
    <row r="134" spans="1:22" ht="26.25" customHeight="1">
      <c r="A134" s="56"/>
      <c r="B134" s="51"/>
      <c r="C134" s="576"/>
      <c r="D134" s="220"/>
      <c r="E134" s="103"/>
      <c r="F134" s="104"/>
      <c r="G134" s="106"/>
      <c r="H134" s="376"/>
      <c r="I134" s="186" t="s">
        <v>751</v>
      </c>
      <c r="J134" s="250">
        <v>100000</v>
      </c>
      <c r="K134" s="135" t="s">
        <v>497</v>
      </c>
      <c r="L134" s="49" t="s">
        <v>143</v>
      </c>
      <c r="M134" s="444">
        <v>1200</v>
      </c>
      <c r="N134" s="417"/>
      <c r="O134" s="415">
        <v>600</v>
      </c>
      <c r="P134" s="415">
        <v>600</v>
      </c>
      <c r="Q134" s="415"/>
      <c r="R134" s="415"/>
      <c r="S134" s="415"/>
      <c r="T134" s="416"/>
      <c r="U134" s="488"/>
      <c r="V134" s="483">
        <f t="shared" si="3"/>
        <v>1200</v>
      </c>
    </row>
    <row r="135" spans="1:22" ht="26.25" customHeight="1">
      <c r="A135" s="56"/>
      <c r="B135" s="51"/>
      <c r="C135" s="576"/>
      <c r="D135" s="222" t="s">
        <v>144</v>
      </c>
      <c r="E135" s="101">
        <f>M135</f>
        <v>27134.054166666665</v>
      </c>
      <c r="F135" s="102">
        <v>45525</v>
      </c>
      <c r="G135" s="313">
        <f>E135-F135</f>
        <v>-18390.945833333335</v>
      </c>
      <c r="H135" s="314">
        <f>G135/F135</f>
        <v>-0.40397464762950763</v>
      </c>
      <c r="I135" s="279" t="s">
        <v>417</v>
      </c>
      <c r="J135" s="251"/>
      <c r="K135" s="136"/>
      <c r="L135" s="55"/>
      <c r="M135" s="531">
        <f>SUM(M137:M144)</f>
        <v>27134.054166666665</v>
      </c>
      <c r="N135" s="436">
        <f>N136</f>
        <v>0</v>
      </c>
      <c r="O135" s="498">
        <f aca="true" t="shared" si="7" ref="O135:T135">O137+O138+O140+O142+O144</f>
        <v>9870</v>
      </c>
      <c r="P135" s="498">
        <f t="shared" si="7"/>
        <v>12264</v>
      </c>
      <c r="Q135" s="498">
        <f t="shared" si="7"/>
        <v>0</v>
      </c>
      <c r="R135" s="498">
        <f t="shared" si="7"/>
        <v>3911</v>
      </c>
      <c r="S135" s="498">
        <f t="shared" si="7"/>
        <v>0</v>
      </c>
      <c r="T135" s="561">
        <f t="shared" si="7"/>
        <v>1089</v>
      </c>
      <c r="U135" s="488"/>
      <c r="V135" s="483">
        <f aca="true" t="shared" si="8" ref="V135:V198">SUM(N135:T135)</f>
        <v>27134</v>
      </c>
    </row>
    <row r="136" spans="1:22" ht="26.25" customHeight="1">
      <c r="A136" s="56"/>
      <c r="B136" s="51"/>
      <c r="C136" s="576"/>
      <c r="D136" s="220" t="s">
        <v>145</v>
      </c>
      <c r="E136" s="103"/>
      <c r="F136" s="104"/>
      <c r="G136" s="104"/>
      <c r="H136" s="372"/>
      <c r="I136" s="238" t="s">
        <v>696</v>
      </c>
      <c r="J136" s="258"/>
      <c r="K136" s="140"/>
      <c r="L136" s="28"/>
      <c r="M136" s="447"/>
      <c r="N136" s="436"/>
      <c r="O136" s="484"/>
      <c r="P136" s="484"/>
      <c r="Q136" s="484"/>
      <c r="R136" s="484"/>
      <c r="S136" s="484"/>
      <c r="T136" s="555"/>
      <c r="U136" s="488"/>
      <c r="V136" s="483">
        <f t="shared" si="8"/>
        <v>0</v>
      </c>
    </row>
    <row r="137" spans="1:22" ht="26.25" customHeight="1">
      <c r="A137" s="56"/>
      <c r="B137" s="51"/>
      <c r="C137" s="576"/>
      <c r="D137" s="225"/>
      <c r="E137" s="103"/>
      <c r="F137" s="104"/>
      <c r="G137" s="104"/>
      <c r="H137" s="372"/>
      <c r="I137" s="185" t="s">
        <v>754</v>
      </c>
      <c r="J137" s="249">
        <v>164053500</v>
      </c>
      <c r="K137" s="134" t="s">
        <v>755</v>
      </c>
      <c r="L137" s="54" t="s">
        <v>756</v>
      </c>
      <c r="M137" s="443">
        <f>J137*1/12/1000</f>
        <v>13671.125</v>
      </c>
      <c r="N137" s="417"/>
      <c r="O137" s="415">
        <v>6836</v>
      </c>
      <c r="P137" s="415">
        <v>6835</v>
      </c>
      <c r="Q137" s="415"/>
      <c r="R137" s="415"/>
      <c r="S137" s="415"/>
      <c r="T137" s="416"/>
      <c r="U137" s="488"/>
      <c r="V137" s="483">
        <f t="shared" si="8"/>
        <v>13671</v>
      </c>
    </row>
    <row r="138" spans="1:22" ht="26.25" customHeight="1">
      <c r="A138" s="56"/>
      <c r="B138" s="51"/>
      <c r="C138" s="576"/>
      <c r="D138" s="225"/>
      <c r="E138" s="103"/>
      <c r="F138" s="104"/>
      <c r="G138" s="104"/>
      <c r="H138" s="372"/>
      <c r="I138" s="185" t="s">
        <v>868</v>
      </c>
      <c r="J138" s="249"/>
      <c r="K138" s="134"/>
      <c r="L138" s="54" t="s">
        <v>756</v>
      </c>
      <c r="M138" s="443">
        <v>5000</v>
      </c>
      <c r="N138" s="417">
        <v>0</v>
      </c>
      <c r="O138" s="415">
        <v>0</v>
      </c>
      <c r="P138" s="415">
        <v>0</v>
      </c>
      <c r="Q138" s="415"/>
      <c r="R138" s="415">
        <v>3911</v>
      </c>
      <c r="S138" s="415">
        <v>0</v>
      </c>
      <c r="T138" s="416">
        <v>1089</v>
      </c>
      <c r="U138" s="488"/>
      <c r="V138" s="483">
        <f t="shared" si="8"/>
        <v>5000</v>
      </c>
    </row>
    <row r="139" spans="1:22" ht="26.25" customHeight="1">
      <c r="A139" s="56"/>
      <c r="B139" s="51"/>
      <c r="C139" s="576"/>
      <c r="D139" s="225"/>
      <c r="E139" s="103"/>
      <c r="F139" s="104"/>
      <c r="G139" s="104"/>
      <c r="H139" s="372"/>
      <c r="I139" s="279" t="s">
        <v>382</v>
      </c>
      <c r="J139" s="251"/>
      <c r="K139" s="136"/>
      <c r="L139" s="55"/>
      <c r="M139" s="442"/>
      <c r="N139" s="523"/>
      <c r="O139" s="496"/>
      <c r="P139" s="496"/>
      <c r="Q139" s="485"/>
      <c r="R139" s="485"/>
      <c r="S139" s="485"/>
      <c r="T139" s="562"/>
      <c r="U139" s="523"/>
      <c r="V139" s="483">
        <f t="shared" si="8"/>
        <v>0</v>
      </c>
    </row>
    <row r="140" spans="1:22" ht="26.25" customHeight="1">
      <c r="A140" s="56"/>
      <c r="B140" s="51"/>
      <c r="C140" s="576"/>
      <c r="D140" s="225"/>
      <c r="E140" s="103"/>
      <c r="F140" s="104"/>
      <c r="G140" s="104"/>
      <c r="H140" s="372"/>
      <c r="I140" s="185" t="s">
        <v>754</v>
      </c>
      <c r="J140" s="249">
        <v>52667100</v>
      </c>
      <c r="K140" s="134" t="s">
        <v>755</v>
      </c>
      <c r="L140" s="54" t="s">
        <v>756</v>
      </c>
      <c r="M140" s="443">
        <f>J140*1/12/1000</f>
        <v>4388.925</v>
      </c>
      <c r="N140" s="523"/>
      <c r="O140" s="415">
        <v>2195</v>
      </c>
      <c r="P140" s="415">
        <v>2194</v>
      </c>
      <c r="Q140" s="485"/>
      <c r="R140" s="485"/>
      <c r="S140" s="485"/>
      <c r="T140" s="562"/>
      <c r="U140" s="523"/>
      <c r="V140" s="483">
        <f t="shared" si="8"/>
        <v>4389</v>
      </c>
    </row>
    <row r="141" spans="1:22" ht="26.25" customHeight="1">
      <c r="A141" s="56"/>
      <c r="B141" s="51"/>
      <c r="C141" s="576"/>
      <c r="D141" s="225"/>
      <c r="E141" s="103"/>
      <c r="F141" s="104"/>
      <c r="G141" s="104"/>
      <c r="H141" s="372"/>
      <c r="I141" s="279" t="s">
        <v>498</v>
      </c>
      <c r="J141" s="251"/>
      <c r="K141" s="136"/>
      <c r="L141" s="55"/>
      <c r="M141" s="442"/>
      <c r="N141" s="523"/>
      <c r="O141" s="415"/>
      <c r="P141" s="415"/>
      <c r="Q141" s="485"/>
      <c r="R141" s="485"/>
      <c r="S141" s="485"/>
      <c r="T141" s="562"/>
      <c r="U141" s="523"/>
      <c r="V141" s="483">
        <f t="shared" si="8"/>
        <v>0</v>
      </c>
    </row>
    <row r="142" spans="1:22" ht="26.25" customHeight="1">
      <c r="A142" s="56"/>
      <c r="B142" s="51"/>
      <c r="C142" s="576"/>
      <c r="D142" s="225"/>
      <c r="E142" s="103"/>
      <c r="F142" s="104"/>
      <c r="G142" s="104"/>
      <c r="H142" s="372"/>
      <c r="I142" s="185" t="s">
        <v>754</v>
      </c>
      <c r="J142" s="249">
        <v>20128550</v>
      </c>
      <c r="K142" s="134" t="s">
        <v>755</v>
      </c>
      <c r="L142" s="54" t="s">
        <v>756</v>
      </c>
      <c r="M142" s="443">
        <f>J142*1/12/1000</f>
        <v>1677.3791666666668</v>
      </c>
      <c r="N142" s="523"/>
      <c r="O142" s="415">
        <v>839</v>
      </c>
      <c r="P142" s="415">
        <v>838</v>
      </c>
      <c r="Q142" s="485"/>
      <c r="R142" s="485"/>
      <c r="S142" s="485"/>
      <c r="T142" s="562"/>
      <c r="U142" s="523"/>
      <c r="V142" s="483">
        <f t="shared" si="8"/>
        <v>1677</v>
      </c>
    </row>
    <row r="143" spans="1:22" ht="26.25" customHeight="1">
      <c r="A143" s="56"/>
      <c r="B143" s="51"/>
      <c r="C143" s="576"/>
      <c r="D143" s="225"/>
      <c r="E143" s="103"/>
      <c r="F143" s="104"/>
      <c r="G143" s="104"/>
      <c r="H143" s="372"/>
      <c r="I143" s="279" t="s">
        <v>757</v>
      </c>
      <c r="J143" s="251"/>
      <c r="K143" s="136"/>
      <c r="L143" s="55"/>
      <c r="M143" s="442"/>
      <c r="N143" s="523"/>
      <c r="O143" s="415"/>
      <c r="P143" s="415"/>
      <c r="Q143" s="485"/>
      <c r="R143" s="485"/>
      <c r="S143" s="485"/>
      <c r="T143" s="562"/>
      <c r="U143" s="523"/>
      <c r="V143" s="483">
        <f t="shared" si="8"/>
        <v>0</v>
      </c>
    </row>
    <row r="144" spans="1:22" ht="26.25" customHeight="1">
      <c r="A144" s="56"/>
      <c r="B144" s="51"/>
      <c r="C144" s="576"/>
      <c r="D144" s="225"/>
      <c r="E144" s="103"/>
      <c r="F144" s="104"/>
      <c r="G144" s="106"/>
      <c r="H144" s="376"/>
      <c r="I144" s="185" t="s">
        <v>754</v>
      </c>
      <c r="J144" s="249">
        <v>28759500</v>
      </c>
      <c r="K144" s="134" t="s">
        <v>755</v>
      </c>
      <c r="L144" s="54" t="s">
        <v>756</v>
      </c>
      <c r="M144" s="443">
        <f>J144*1/12/1000</f>
        <v>2396.625</v>
      </c>
      <c r="N144" s="523"/>
      <c r="O144" s="415">
        <v>0</v>
      </c>
      <c r="P144" s="415">
        <v>2397</v>
      </c>
      <c r="Q144" s="485"/>
      <c r="R144" s="485"/>
      <c r="S144" s="485"/>
      <c r="T144" s="562"/>
      <c r="U144" s="523"/>
      <c r="V144" s="483">
        <f t="shared" si="8"/>
        <v>2397</v>
      </c>
    </row>
    <row r="145" spans="1:22" ht="26.25" customHeight="1">
      <c r="A145" s="56"/>
      <c r="B145" s="51"/>
      <c r="C145" s="576"/>
      <c r="D145" s="222" t="s">
        <v>146</v>
      </c>
      <c r="E145" s="101">
        <f>M146</f>
        <v>21847.738224999997</v>
      </c>
      <c r="F145" s="102">
        <v>20681</v>
      </c>
      <c r="G145" s="104">
        <f>E145-F145</f>
        <v>1166.7382249999973</v>
      </c>
      <c r="H145" s="372">
        <f>G145/F145</f>
        <v>0.05641594821333578</v>
      </c>
      <c r="I145" s="187"/>
      <c r="J145" s="251"/>
      <c r="K145" s="136"/>
      <c r="L145" s="55"/>
      <c r="M145" s="442"/>
      <c r="N145" s="523"/>
      <c r="O145" s="415"/>
      <c r="P145" s="415"/>
      <c r="Q145" s="485"/>
      <c r="R145" s="485"/>
      <c r="S145" s="485"/>
      <c r="T145" s="562"/>
      <c r="U145" s="523"/>
      <c r="V145" s="483">
        <f t="shared" si="8"/>
        <v>0</v>
      </c>
    </row>
    <row r="146" spans="1:22" ht="26.25" customHeight="1">
      <c r="A146" s="56"/>
      <c r="B146" s="51"/>
      <c r="C146" s="576"/>
      <c r="D146" s="220" t="s">
        <v>147</v>
      </c>
      <c r="E146" s="103"/>
      <c r="F146" s="104"/>
      <c r="G146" s="104"/>
      <c r="H146" s="372"/>
      <c r="I146" s="238" t="s">
        <v>416</v>
      </c>
      <c r="J146" s="255"/>
      <c r="K146" s="140"/>
      <c r="L146" s="28"/>
      <c r="M146" s="533">
        <f>M147+M152+M157+M162</f>
        <v>21847.738224999997</v>
      </c>
      <c r="N146" s="523"/>
      <c r="O146" s="497">
        <f aca="true" t="shared" si="9" ref="O146:T146">O147+O152+O157+O162</f>
        <v>9325</v>
      </c>
      <c r="P146" s="497">
        <f t="shared" si="9"/>
        <v>9362</v>
      </c>
      <c r="Q146" s="497">
        <f t="shared" si="9"/>
        <v>0</v>
      </c>
      <c r="R146" s="497">
        <f t="shared" si="9"/>
        <v>2898</v>
      </c>
      <c r="S146" s="497">
        <f t="shared" si="9"/>
        <v>261</v>
      </c>
      <c r="T146" s="563">
        <f t="shared" si="9"/>
        <v>0</v>
      </c>
      <c r="U146" s="523"/>
      <c r="V146" s="483">
        <f t="shared" si="8"/>
        <v>21846</v>
      </c>
    </row>
    <row r="147" spans="1:22" ht="26.25" customHeight="1">
      <c r="A147" s="56"/>
      <c r="B147" s="52"/>
      <c r="C147" s="577"/>
      <c r="D147" s="552"/>
      <c r="E147" s="109"/>
      <c r="F147" s="110"/>
      <c r="G147" s="110"/>
      <c r="H147" s="374"/>
      <c r="I147" s="544" t="s">
        <v>696</v>
      </c>
      <c r="J147" s="545"/>
      <c r="K147" s="546"/>
      <c r="L147" s="308"/>
      <c r="M147" s="565">
        <f>SUM(M148:M151)</f>
        <v>13493.400375</v>
      </c>
      <c r="N147" s="524"/>
      <c r="O147" s="432">
        <f aca="true" t="shared" si="10" ref="O147:T147">SUM(O148:O151)</f>
        <v>6747</v>
      </c>
      <c r="P147" s="432">
        <f t="shared" si="10"/>
        <v>6746</v>
      </c>
      <c r="Q147" s="432">
        <f t="shared" si="10"/>
        <v>0</v>
      </c>
      <c r="R147" s="432">
        <f t="shared" si="10"/>
        <v>0</v>
      </c>
      <c r="S147" s="432">
        <f t="shared" si="10"/>
        <v>0</v>
      </c>
      <c r="T147" s="433">
        <f t="shared" si="10"/>
        <v>0</v>
      </c>
      <c r="U147" s="523"/>
      <c r="V147" s="483">
        <f t="shared" si="8"/>
        <v>13493</v>
      </c>
    </row>
    <row r="148" spans="1:22" ht="26.25" customHeight="1">
      <c r="A148" s="56"/>
      <c r="B148" s="57"/>
      <c r="C148" s="578"/>
      <c r="D148" s="231"/>
      <c r="E148" s="304"/>
      <c r="F148" s="305"/>
      <c r="G148" s="305"/>
      <c r="H148" s="375"/>
      <c r="I148" s="306" t="s">
        <v>758</v>
      </c>
      <c r="J148" s="307">
        <v>164053500</v>
      </c>
      <c r="K148" s="309" t="s">
        <v>759</v>
      </c>
      <c r="L148" s="242" t="s">
        <v>760</v>
      </c>
      <c r="M148" s="514">
        <f>(J148*2.385%)/1000</f>
        <v>3912.675974999999</v>
      </c>
      <c r="N148" s="566"/>
      <c r="O148" s="469">
        <v>1957</v>
      </c>
      <c r="P148" s="469">
        <v>1956</v>
      </c>
      <c r="Q148" s="567"/>
      <c r="R148" s="567"/>
      <c r="S148" s="567"/>
      <c r="T148" s="568"/>
      <c r="U148" s="523"/>
      <c r="V148" s="483">
        <f t="shared" si="8"/>
        <v>3913</v>
      </c>
    </row>
    <row r="149" spans="1:22" ht="26.25" customHeight="1">
      <c r="A149" s="56"/>
      <c r="B149" s="51"/>
      <c r="C149" s="576"/>
      <c r="D149" s="225"/>
      <c r="E149" s="103"/>
      <c r="F149" s="104"/>
      <c r="G149" s="104"/>
      <c r="H149" s="372"/>
      <c r="I149" s="186" t="s">
        <v>761</v>
      </c>
      <c r="J149" s="249">
        <v>164053500</v>
      </c>
      <c r="K149" s="135" t="s">
        <v>762</v>
      </c>
      <c r="L149" s="49" t="s">
        <v>760</v>
      </c>
      <c r="M149" s="444">
        <f>(J149*4.5%)/1000</f>
        <v>7382.4075</v>
      </c>
      <c r="N149" s="523"/>
      <c r="O149" s="415">
        <v>3691</v>
      </c>
      <c r="P149" s="415">
        <v>3691</v>
      </c>
      <c r="Q149" s="485"/>
      <c r="R149" s="485"/>
      <c r="S149" s="485"/>
      <c r="T149" s="562"/>
      <c r="U149" s="523"/>
      <c r="V149" s="483">
        <f t="shared" si="8"/>
        <v>7382</v>
      </c>
    </row>
    <row r="150" spans="1:22" ht="26.25" customHeight="1">
      <c r="A150" s="56"/>
      <c r="B150" s="51"/>
      <c r="C150" s="576"/>
      <c r="D150" s="225"/>
      <c r="E150" s="103"/>
      <c r="F150" s="104"/>
      <c r="G150" s="104"/>
      <c r="H150" s="372"/>
      <c r="I150" s="186" t="s">
        <v>763</v>
      </c>
      <c r="J150" s="250">
        <v>164053500</v>
      </c>
      <c r="K150" s="135" t="s">
        <v>764</v>
      </c>
      <c r="L150" s="49" t="s">
        <v>760</v>
      </c>
      <c r="M150" s="447">
        <f>(J150*0.7%)/1000</f>
        <v>1148.3744999999997</v>
      </c>
      <c r="N150" s="523"/>
      <c r="O150" s="415">
        <v>574</v>
      </c>
      <c r="P150" s="415">
        <v>574</v>
      </c>
      <c r="Q150" s="485"/>
      <c r="R150" s="485"/>
      <c r="S150" s="485"/>
      <c r="T150" s="562"/>
      <c r="U150" s="523"/>
      <c r="V150" s="483">
        <f t="shared" si="8"/>
        <v>1148</v>
      </c>
    </row>
    <row r="151" spans="1:22" ht="26.25" customHeight="1">
      <c r="A151" s="56"/>
      <c r="B151" s="51"/>
      <c r="C151" s="576"/>
      <c r="D151" s="225"/>
      <c r="E151" s="103"/>
      <c r="F151" s="104"/>
      <c r="G151" s="104"/>
      <c r="H151" s="372"/>
      <c r="I151" s="186" t="s">
        <v>765</v>
      </c>
      <c r="J151" s="250">
        <v>164053500</v>
      </c>
      <c r="K151" s="135" t="s">
        <v>766</v>
      </c>
      <c r="L151" s="49" t="s">
        <v>760</v>
      </c>
      <c r="M151" s="444">
        <f>(J151*0.64%)/1000</f>
        <v>1049.9424000000001</v>
      </c>
      <c r="N151" s="523"/>
      <c r="O151" s="415">
        <v>525</v>
      </c>
      <c r="P151" s="415">
        <v>525</v>
      </c>
      <c r="Q151" s="485"/>
      <c r="R151" s="485"/>
      <c r="S151" s="485"/>
      <c r="T151" s="562"/>
      <c r="U151" s="523"/>
      <c r="V151" s="483">
        <f t="shared" si="8"/>
        <v>1050</v>
      </c>
    </row>
    <row r="152" spans="1:22" ht="26.25" customHeight="1">
      <c r="A152" s="56"/>
      <c r="B152" s="297"/>
      <c r="C152" s="579"/>
      <c r="D152" s="624"/>
      <c r="E152" s="105"/>
      <c r="F152" s="106"/>
      <c r="G152" s="106"/>
      <c r="H152" s="376"/>
      <c r="I152" s="192" t="s">
        <v>382</v>
      </c>
      <c r="J152" s="256"/>
      <c r="K152" s="134"/>
      <c r="L152" s="54"/>
      <c r="M152" s="536">
        <f>SUM(M153:M156)</f>
        <v>4331.868974999999</v>
      </c>
      <c r="N152" s="523"/>
      <c r="O152" s="415">
        <f aca="true" t="shared" si="11" ref="O152:T152">SUM(O153:O156)</f>
        <v>1879</v>
      </c>
      <c r="P152" s="415">
        <f t="shared" si="11"/>
        <v>1877</v>
      </c>
      <c r="Q152" s="415">
        <f t="shared" si="11"/>
        <v>0</v>
      </c>
      <c r="R152" s="415">
        <f t="shared" si="11"/>
        <v>576</v>
      </c>
      <c r="S152" s="415">
        <f t="shared" si="11"/>
        <v>0</v>
      </c>
      <c r="T152" s="416">
        <f t="shared" si="11"/>
        <v>0</v>
      </c>
      <c r="U152" s="523"/>
      <c r="V152" s="483">
        <f t="shared" si="8"/>
        <v>4332</v>
      </c>
    </row>
    <row r="153" spans="1:22" ht="26.25" customHeight="1">
      <c r="A153" s="56"/>
      <c r="B153" s="51"/>
      <c r="C153" s="576"/>
      <c r="D153" s="225"/>
      <c r="E153" s="103"/>
      <c r="F153" s="104"/>
      <c r="G153" s="104"/>
      <c r="H153" s="372"/>
      <c r="I153" s="185" t="s">
        <v>767</v>
      </c>
      <c r="J153" s="249">
        <v>52667100</v>
      </c>
      <c r="K153" s="134" t="s">
        <v>768</v>
      </c>
      <c r="L153" s="54" t="s">
        <v>756</v>
      </c>
      <c r="M153" s="443">
        <f>(J153*2.385%)/1000</f>
        <v>1256.1103349999996</v>
      </c>
      <c r="N153" s="621"/>
      <c r="O153" s="406">
        <v>628</v>
      </c>
      <c r="P153" s="406">
        <v>628</v>
      </c>
      <c r="Q153" s="622"/>
      <c r="R153" s="622"/>
      <c r="S153" s="622"/>
      <c r="T153" s="623"/>
      <c r="U153" s="523"/>
      <c r="V153" s="483">
        <f t="shared" si="8"/>
        <v>1256</v>
      </c>
    </row>
    <row r="154" spans="1:22" ht="26.25" customHeight="1">
      <c r="A154" s="56"/>
      <c r="B154" s="51"/>
      <c r="C154" s="576"/>
      <c r="D154" s="225"/>
      <c r="E154" s="103"/>
      <c r="F154" s="104"/>
      <c r="G154" s="104"/>
      <c r="H154" s="372"/>
      <c r="I154" s="186" t="s">
        <v>769</v>
      </c>
      <c r="J154" s="249">
        <v>52667100</v>
      </c>
      <c r="K154" s="135" t="s">
        <v>770</v>
      </c>
      <c r="L154" s="49" t="s">
        <v>756</v>
      </c>
      <c r="M154" s="444">
        <f>(J154*4.5%)/1000</f>
        <v>2370.0195</v>
      </c>
      <c r="N154" s="523"/>
      <c r="O154" s="415">
        <v>995</v>
      </c>
      <c r="P154" s="415">
        <v>995</v>
      </c>
      <c r="Q154" s="485"/>
      <c r="R154" s="415">
        <v>380</v>
      </c>
      <c r="S154" s="485"/>
      <c r="T154" s="562"/>
      <c r="U154" s="523"/>
      <c r="V154" s="483">
        <f t="shared" si="8"/>
        <v>2370</v>
      </c>
    </row>
    <row r="155" spans="1:22" ht="26.25" customHeight="1">
      <c r="A155" s="56"/>
      <c r="B155" s="51"/>
      <c r="C155" s="576"/>
      <c r="D155" s="225"/>
      <c r="E155" s="103"/>
      <c r="F155" s="104"/>
      <c r="G155" s="104"/>
      <c r="H155" s="372"/>
      <c r="I155" s="186" t="s">
        <v>771</v>
      </c>
      <c r="J155" s="250">
        <v>52667100</v>
      </c>
      <c r="K155" s="135" t="s">
        <v>772</v>
      </c>
      <c r="L155" s="49" t="s">
        <v>756</v>
      </c>
      <c r="M155" s="447">
        <f>(J155*0.7%)/1000</f>
        <v>368.6697</v>
      </c>
      <c r="N155" s="523"/>
      <c r="O155" s="415">
        <v>185</v>
      </c>
      <c r="P155" s="415">
        <v>184</v>
      </c>
      <c r="Q155" s="485"/>
      <c r="R155" s="415">
        <v>0</v>
      </c>
      <c r="S155" s="485"/>
      <c r="T155" s="562"/>
      <c r="U155" s="523"/>
      <c r="V155" s="483">
        <f t="shared" si="8"/>
        <v>369</v>
      </c>
    </row>
    <row r="156" spans="1:22" ht="26.25" customHeight="1">
      <c r="A156" s="56"/>
      <c r="B156" s="51"/>
      <c r="C156" s="576"/>
      <c r="D156" s="225"/>
      <c r="E156" s="103"/>
      <c r="F156" s="104"/>
      <c r="G156" s="104"/>
      <c r="H156" s="372"/>
      <c r="I156" s="186" t="s">
        <v>773</v>
      </c>
      <c r="J156" s="250">
        <v>52667100</v>
      </c>
      <c r="K156" s="135" t="s">
        <v>774</v>
      </c>
      <c r="L156" s="49" t="s">
        <v>756</v>
      </c>
      <c r="M156" s="444">
        <f>(J156*0.64%)/1000</f>
        <v>337.06944</v>
      </c>
      <c r="N156" s="523"/>
      <c r="O156" s="415">
        <v>71</v>
      </c>
      <c r="P156" s="415">
        <v>70</v>
      </c>
      <c r="Q156" s="485"/>
      <c r="R156" s="415">
        <v>196</v>
      </c>
      <c r="S156" s="485"/>
      <c r="T156" s="562"/>
      <c r="U156" s="523"/>
      <c r="V156" s="483">
        <f t="shared" si="8"/>
        <v>337</v>
      </c>
    </row>
    <row r="157" spans="1:22" ht="26.25" customHeight="1">
      <c r="A157" s="56"/>
      <c r="B157" s="51"/>
      <c r="C157" s="576"/>
      <c r="D157" s="225"/>
      <c r="E157" s="103"/>
      <c r="F157" s="104"/>
      <c r="G157" s="104"/>
      <c r="H157" s="372"/>
      <c r="I157" s="279" t="s">
        <v>498</v>
      </c>
      <c r="J157" s="255"/>
      <c r="K157" s="140"/>
      <c r="L157" s="28"/>
      <c r="M157" s="534">
        <f>SUM(M158:M161)</f>
        <v>1657</v>
      </c>
      <c r="N157" s="523"/>
      <c r="O157" s="415">
        <f aca="true" t="shared" si="12" ref="O157:T157">SUM(O158:O161)</f>
        <v>699</v>
      </c>
      <c r="P157" s="415">
        <f t="shared" si="12"/>
        <v>696</v>
      </c>
      <c r="Q157" s="415">
        <f t="shared" si="12"/>
        <v>0</v>
      </c>
      <c r="R157" s="415">
        <f t="shared" si="12"/>
        <v>0</v>
      </c>
      <c r="S157" s="415">
        <f t="shared" si="12"/>
        <v>261</v>
      </c>
      <c r="T157" s="416">
        <f t="shared" si="12"/>
        <v>0</v>
      </c>
      <c r="U157" s="523"/>
      <c r="V157" s="483">
        <f t="shared" si="8"/>
        <v>1656</v>
      </c>
    </row>
    <row r="158" spans="1:22" ht="26.25" customHeight="1">
      <c r="A158" s="56"/>
      <c r="B158" s="51"/>
      <c r="C158" s="576"/>
      <c r="D158" s="225"/>
      <c r="E158" s="103"/>
      <c r="F158" s="104"/>
      <c r="G158" s="104"/>
      <c r="H158" s="372"/>
      <c r="I158" s="185" t="s">
        <v>767</v>
      </c>
      <c r="J158" s="249">
        <v>20128550</v>
      </c>
      <c r="K158" s="134" t="s">
        <v>768</v>
      </c>
      <c r="L158" s="54" t="s">
        <v>756</v>
      </c>
      <c r="M158" s="443">
        <v>480</v>
      </c>
      <c r="N158" s="523"/>
      <c r="O158" s="415">
        <v>110</v>
      </c>
      <c r="P158" s="415">
        <v>109</v>
      </c>
      <c r="Q158" s="485"/>
      <c r="R158" s="485"/>
      <c r="S158" s="415">
        <v>261</v>
      </c>
      <c r="T158" s="562"/>
      <c r="U158" s="523"/>
      <c r="V158" s="483">
        <f t="shared" si="8"/>
        <v>480</v>
      </c>
    </row>
    <row r="159" spans="1:22" ht="26.25" customHeight="1">
      <c r="A159" s="56"/>
      <c r="B159" s="51"/>
      <c r="C159" s="576"/>
      <c r="D159" s="225"/>
      <c r="E159" s="103"/>
      <c r="F159" s="104"/>
      <c r="G159" s="104"/>
      <c r="H159" s="372"/>
      <c r="I159" s="186" t="s">
        <v>769</v>
      </c>
      <c r="J159" s="249">
        <v>20128550</v>
      </c>
      <c r="K159" s="135" t="s">
        <v>770</v>
      </c>
      <c r="L159" s="49" t="s">
        <v>756</v>
      </c>
      <c r="M159" s="444">
        <v>906</v>
      </c>
      <c r="N159" s="523"/>
      <c r="O159" s="415">
        <v>453</v>
      </c>
      <c r="P159" s="415">
        <v>453</v>
      </c>
      <c r="Q159" s="485"/>
      <c r="R159" s="485"/>
      <c r="S159" s="485"/>
      <c r="T159" s="562"/>
      <c r="U159" s="523"/>
      <c r="V159" s="483">
        <f t="shared" si="8"/>
        <v>906</v>
      </c>
    </row>
    <row r="160" spans="1:22" ht="26.25" customHeight="1">
      <c r="A160" s="56"/>
      <c r="B160" s="51"/>
      <c r="C160" s="576"/>
      <c r="D160" s="225"/>
      <c r="E160" s="103"/>
      <c r="F160" s="104"/>
      <c r="G160" s="104"/>
      <c r="H160" s="372"/>
      <c r="I160" s="186" t="s">
        <v>771</v>
      </c>
      <c r="J160" s="250">
        <v>20128550</v>
      </c>
      <c r="K160" s="135" t="s">
        <v>772</v>
      </c>
      <c r="L160" s="49" t="s">
        <v>756</v>
      </c>
      <c r="M160" s="447">
        <v>142</v>
      </c>
      <c r="N160" s="523"/>
      <c r="O160" s="415">
        <v>71</v>
      </c>
      <c r="P160" s="415">
        <v>70</v>
      </c>
      <c r="Q160" s="485"/>
      <c r="R160" s="485"/>
      <c r="S160" s="485"/>
      <c r="T160" s="562"/>
      <c r="U160" s="523"/>
      <c r="V160" s="483">
        <f t="shared" si="8"/>
        <v>141</v>
      </c>
    </row>
    <row r="161" spans="1:22" ht="26.25" customHeight="1">
      <c r="A161" s="56"/>
      <c r="B161" s="51"/>
      <c r="C161" s="576"/>
      <c r="D161" s="225"/>
      <c r="E161" s="103"/>
      <c r="F161" s="104"/>
      <c r="G161" s="104"/>
      <c r="H161" s="372"/>
      <c r="I161" s="186" t="s">
        <v>773</v>
      </c>
      <c r="J161" s="250">
        <v>20128550</v>
      </c>
      <c r="K161" s="135" t="s">
        <v>774</v>
      </c>
      <c r="L161" s="49" t="s">
        <v>756</v>
      </c>
      <c r="M161" s="444">
        <v>129</v>
      </c>
      <c r="N161" s="523"/>
      <c r="O161" s="415">
        <v>65</v>
      </c>
      <c r="P161" s="415">
        <v>64</v>
      </c>
      <c r="Q161" s="485"/>
      <c r="R161" s="485"/>
      <c r="S161" s="485"/>
      <c r="T161" s="562"/>
      <c r="U161" s="523"/>
      <c r="V161" s="483">
        <f t="shared" si="8"/>
        <v>129</v>
      </c>
    </row>
    <row r="162" spans="1:22" ht="26.25" customHeight="1">
      <c r="A162" s="56"/>
      <c r="B162" s="51"/>
      <c r="C162" s="576"/>
      <c r="D162" s="225"/>
      <c r="E162" s="103"/>
      <c r="F162" s="104"/>
      <c r="G162" s="104"/>
      <c r="H162" s="372"/>
      <c r="I162" s="279" t="s">
        <v>757</v>
      </c>
      <c r="J162" s="255"/>
      <c r="K162" s="140"/>
      <c r="L162" s="28"/>
      <c r="M162" s="534">
        <f>SUM(M163:M166)</f>
        <v>2365.468875</v>
      </c>
      <c r="N162" s="523"/>
      <c r="O162" s="415">
        <f>SUM(O163:O166)</f>
        <v>0</v>
      </c>
      <c r="P162" s="415">
        <f>SUM(P163:P166)</f>
        <v>43</v>
      </c>
      <c r="Q162" s="415">
        <f>SUM(Q163:Q166)</f>
        <v>0</v>
      </c>
      <c r="R162" s="415">
        <f>SUM(R163:R166)</f>
        <v>2322</v>
      </c>
      <c r="S162" s="485"/>
      <c r="T162" s="562"/>
      <c r="U162" s="523"/>
      <c r="V162" s="483">
        <f t="shared" si="8"/>
        <v>2365</v>
      </c>
    </row>
    <row r="163" spans="1:22" ht="26.25" customHeight="1">
      <c r="A163" s="56"/>
      <c r="B163" s="52"/>
      <c r="C163" s="577"/>
      <c r="D163" s="552"/>
      <c r="E163" s="109"/>
      <c r="F163" s="110"/>
      <c r="G163" s="110"/>
      <c r="H163" s="374"/>
      <c r="I163" s="580" t="s">
        <v>767</v>
      </c>
      <c r="J163" s="272">
        <v>28759500</v>
      </c>
      <c r="K163" s="546" t="s">
        <v>768</v>
      </c>
      <c r="L163" s="308" t="s">
        <v>756</v>
      </c>
      <c r="M163" s="448">
        <f>(J163*2.385%)/1000</f>
        <v>685.9140749999998</v>
      </c>
      <c r="N163" s="524"/>
      <c r="O163" s="432">
        <v>0</v>
      </c>
      <c r="P163" s="432">
        <v>43</v>
      </c>
      <c r="Q163" s="571"/>
      <c r="R163" s="432">
        <v>643</v>
      </c>
      <c r="S163" s="571"/>
      <c r="T163" s="572"/>
      <c r="U163" s="523"/>
      <c r="V163" s="483">
        <f t="shared" si="8"/>
        <v>686</v>
      </c>
    </row>
    <row r="164" spans="1:22" ht="26.25" customHeight="1">
      <c r="A164" s="56"/>
      <c r="B164" s="57"/>
      <c r="C164" s="578"/>
      <c r="D164" s="231"/>
      <c r="E164" s="304"/>
      <c r="F164" s="305"/>
      <c r="G164" s="305"/>
      <c r="H164" s="375"/>
      <c r="I164" s="306" t="s">
        <v>769</v>
      </c>
      <c r="J164" s="307">
        <v>28759500</v>
      </c>
      <c r="K164" s="309" t="s">
        <v>770</v>
      </c>
      <c r="L164" s="242" t="s">
        <v>756</v>
      </c>
      <c r="M164" s="514">
        <f>(J164*4.5%)/1000</f>
        <v>1294.1775</v>
      </c>
      <c r="N164" s="566"/>
      <c r="O164" s="469"/>
      <c r="P164" s="469"/>
      <c r="Q164" s="567"/>
      <c r="R164" s="469">
        <v>1294</v>
      </c>
      <c r="S164" s="567"/>
      <c r="T164" s="568"/>
      <c r="U164" s="523"/>
      <c r="V164" s="483">
        <f t="shared" si="8"/>
        <v>1294</v>
      </c>
    </row>
    <row r="165" spans="1:22" ht="26.25" customHeight="1">
      <c r="A165" s="56"/>
      <c r="B165" s="51"/>
      <c r="C165" s="576"/>
      <c r="D165" s="225"/>
      <c r="E165" s="103"/>
      <c r="F165" s="104"/>
      <c r="G165" s="104"/>
      <c r="H165" s="372"/>
      <c r="I165" s="186" t="s">
        <v>771</v>
      </c>
      <c r="J165" s="250">
        <v>28759500</v>
      </c>
      <c r="K165" s="135" t="s">
        <v>772</v>
      </c>
      <c r="L165" s="49" t="s">
        <v>756</v>
      </c>
      <c r="M165" s="447">
        <f>(J165*0.7%)/1000</f>
        <v>201.31649999999996</v>
      </c>
      <c r="N165" s="523"/>
      <c r="O165" s="415"/>
      <c r="P165" s="415"/>
      <c r="Q165" s="485"/>
      <c r="R165" s="415">
        <v>201</v>
      </c>
      <c r="S165" s="485"/>
      <c r="T165" s="562"/>
      <c r="U165" s="523"/>
      <c r="V165" s="483">
        <f t="shared" si="8"/>
        <v>201</v>
      </c>
    </row>
    <row r="166" spans="1:22" ht="26.25" customHeight="1">
      <c r="A166" s="56"/>
      <c r="B166" s="51"/>
      <c r="C166" s="576"/>
      <c r="D166" s="225"/>
      <c r="E166" s="103"/>
      <c r="F166" s="104"/>
      <c r="G166" s="106"/>
      <c r="H166" s="376"/>
      <c r="I166" s="186" t="s">
        <v>773</v>
      </c>
      <c r="J166" s="250">
        <v>28759500</v>
      </c>
      <c r="K166" s="135" t="s">
        <v>774</v>
      </c>
      <c r="L166" s="49" t="s">
        <v>756</v>
      </c>
      <c r="M166" s="444">
        <f>(J166*0.64%)/1000</f>
        <v>184.06080000000003</v>
      </c>
      <c r="N166" s="523"/>
      <c r="O166" s="415"/>
      <c r="P166" s="415"/>
      <c r="Q166" s="485"/>
      <c r="R166" s="415">
        <v>184</v>
      </c>
      <c r="S166" s="485"/>
      <c r="T166" s="562"/>
      <c r="U166" s="523"/>
      <c r="V166" s="483">
        <f t="shared" si="8"/>
        <v>184</v>
      </c>
    </row>
    <row r="167" spans="1:22" ht="26.25" customHeight="1">
      <c r="A167" s="56"/>
      <c r="B167" s="51"/>
      <c r="C167" s="576"/>
      <c r="D167" s="222" t="s">
        <v>148</v>
      </c>
      <c r="E167" s="101">
        <f>M168</f>
        <v>13500</v>
      </c>
      <c r="F167" s="102">
        <v>12720</v>
      </c>
      <c r="G167" s="104">
        <f>E167-F167</f>
        <v>780</v>
      </c>
      <c r="H167" s="372">
        <f>G167/F167</f>
        <v>0.06132075471698113</v>
      </c>
      <c r="I167" s="187"/>
      <c r="J167" s="251"/>
      <c r="K167" s="136"/>
      <c r="L167" s="55"/>
      <c r="M167" s="442"/>
      <c r="N167" s="523"/>
      <c r="O167" s="415"/>
      <c r="P167" s="415"/>
      <c r="Q167" s="485"/>
      <c r="R167" s="485"/>
      <c r="S167" s="485"/>
      <c r="T167" s="562"/>
      <c r="U167" s="523"/>
      <c r="V167" s="483">
        <f t="shared" si="8"/>
        <v>0</v>
      </c>
    </row>
    <row r="168" spans="1:22" ht="26.25" customHeight="1">
      <c r="A168" s="56"/>
      <c r="B168" s="51"/>
      <c r="C168" s="576"/>
      <c r="D168" s="220" t="s">
        <v>149</v>
      </c>
      <c r="E168" s="103"/>
      <c r="F168" s="104"/>
      <c r="G168" s="104"/>
      <c r="H168" s="372"/>
      <c r="I168" s="238" t="s">
        <v>418</v>
      </c>
      <c r="J168" s="255"/>
      <c r="K168" s="140"/>
      <c r="L168" s="28"/>
      <c r="M168" s="533">
        <f>M169+M173+M177+M180</f>
        <v>13500</v>
      </c>
      <c r="N168" s="523"/>
      <c r="O168" s="497">
        <f>SUM(O169,O173,O177,O180)</f>
        <v>4320</v>
      </c>
      <c r="P168" s="497">
        <f>SUM(P169,P173,P177,P180)</f>
        <v>5280</v>
      </c>
      <c r="Q168" s="497">
        <f>SUM(Q169,Q173)</f>
        <v>3900</v>
      </c>
      <c r="R168" s="485"/>
      <c r="S168" s="485"/>
      <c r="T168" s="562"/>
      <c r="U168" s="523"/>
      <c r="V168" s="483">
        <f t="shared" si="8"/>
        <v>13500</v>
      </c>
    </row>
    <row r="169" spans="1:22" ht="26.25" customHeight="1">
      <c r="A169" s="56"/>
      <c r="B169" s="51"/>
      <c r="C169" s="576"/>
      <c r="D169" s="225"/>
      <c r="E169" s="103"/>
      <c r="F169" s="104"/>
      <c r="G169" s="104"/>
      <c r="H169" s="372"/>
      <c r="I169" s="238" t="s">
        <v>696</v>
      </c>
      <c r="J169" s="255"/>
      <c r="K169" s="140"/>
      <c r="L169" s="28"/>
      <c r="M169" s="534">
        <f>SUM(M170:M172)</f>
        <v>9360</v>
      </c>
      <c r="N169" s="523"/>
      <c r="O169" s="415">
        <f>SUM(O170:O172)</f>
        <v>2880</v>
      </c>
      <c r="P169" s="415">
        <f>SUM(P170:P172)</f>
        <v>2880</v>
      </c>
      <c r="Q169" s="415">
        <f>SUM(Q170:Q172)</f>
        <v>3600</v>
      </c>
      <c r="R169" s="485"/>
      <c r="S169" s="485"/>
      <c r="T169" s="562"/>
      <c r="U169" s="523"/>
      <c r="V169" s="483">
        <f t="shared" si="8"/>
        <v>9360</v>
      </c>
    </row>
    <row r="170" spans="1:22" ht="26.25" customHeight="1">
      <c r="A170" s="56"/>
      <c r="B170" s="51"/>
      <c r="C170" s="576"/>
      <c r="D170" s="225"/>
      <c r="E170" s="103"/>
      <c r="F170" s="104"/>
      <c r="G170" s="104"/>
      <c r="H170" s="372"/>
      <c r="I170" s="185" t="s">
        <v>775</v>
      </c>
      <c r="J170" s="249">
        <v>50000</v>
      </c>
      <c r="K170" s="134" t="s">
        <v>404</v>
      </c>
      <c r="L170" s="54" t="s">
        <v>143</v>
      </c>
      <c r="M170" s="443">
        <f>J170*6*12/1000</f>
        <v>3600</v>
      </c>
      <c r="N170" s="523"/>
      <c r="O170" s="415">
        <v>1800</v>
      </c>
      <c r="P170" s="415">
        <v>1800</v>
      </c>
      <c r="Q170" s="485"/>
      <c r="R170" s="485"/>
      <c r="S170" s="485"/>
      <c r="T170" s="562"/>
      <c r="U170" s="523"/>
      <c r="V170" s="483">
        <f t="shared" si="8"/>
        <v>3600</v>
      </c>
    </row>
    <row r="171" spans="1:22" ht="26.25" customHeight="1">
      <c r="A171" s="56"/>
      <c r="B171" s="51"/>
      <c r="C171" s="576"/>
      <c r="D171" s="225"/>
      <c r="E171" s="103"/>
      <c r="F171" s="104"/>
      <c r="G171" s="104"/>
      <c r="H171" s="372"/>
      <c r="I171" s="186" t="s">
        <v>776</v>
      </c>
      <c r="J171" s="250">
        <v>30000</v>
      </c>
      <c r="K171" s="135" t="s">
        <v>404</v>
      </c>
      <c r="L171" s="49" t="s">
        <v>143</v>
      </c>
      <c r="M171" s="444">
        <f>J171*6*12/1000</f>
        <v>2160</v>
      </c>
      <c r="N171" s="523"/>
      <c r="O171" s="415">
        <v>1080</v>
      </c>
      <c r="P171" s="415">
        <v>1080</v>
      </c>
      <c r="Q171" s="485"/>
      <c r="R171" s="485"/>
      <c r="S171" s="485"/>
      <c r="T171" s="562"/>
      <c r="U171" s="523"/>
      <c r="V171" s="483">
        <f t="shared" si="8"/>
        <v>2160</v>
      </c>
    </row>
    <row r="172" spans="1:22" ht="26.25" customHeight="1">
      <c r="A172" s="56"/>
      <c r="B172" s="51"/>
      <c r="C172" s="576"/>
      <c r="D172" s="225"/>
      <c r="E172" s="103"/>
      <c r="F172" s="104"/>
      <c r="G172" s="104"/>
      <c r="H172" s="372"/>
      <c r="I172" s="185" t="s">
        <v>777</v>
      </c>
      <c r="J172" s="249">
        <v>300000</v>
      </c>
      <c r="K172" s="134" t="s">
        <v>411</v>
      </c>
      <c r="L172" s="54" t="s">
        <v>143</v>
      </c>
      <c r="M172" s="443">
        <f>J172*12/1000</f>
        <v>3600</v>
      </c>
      <c r="N172" s="523"/>
      <c r="O172" s="485"/>
      <c r="P172" s="485"/>
      <c r="Q172" s="415">
        <v>3600</v>
      </c>
      <c r="R172" s="485"/>
      <c r="S172" s="485"/>
      <c r="T172" s="562"/>
      <c r="U172" s="523"/>
      <c r="V172" s="483">
        <f t="shared" si="8"/>
        <v>3600</v>
      </c>
    </row>
    <row r="173" spans="1:22" ht="26.25" customHeight="1">
      <c r="A173" s="56"/>
      <c r="B173" s="51"/>
      <c r="C173" s="576"/>
      <c r="D173" s="225"/>
      <c r="E173" s="103"/>
      <c r="F173" s="104"/>
      <c r="G173" s="104"/>
      <c r="H173" s="372"/>
      <c r="I173" s="279" t="s">
        <v>382</v>
      </c>
      <c r="J173" s="280"/>
      <c r="K173" s="136"/>
      <c r="L173" s="55"/>
      <c r="M173" s="535">
        <f>SUM(M174:M176)</f>
        <v>2220</v>
      </c>
      <c r="N173" s="523"/>
      <c r="O173" s="415">
        <f>SUM(O174:O176)</f>
        <v>960</v>
      </c>
      <c r="P173" s="415">
        <f>SUM(P174:P176)</f>
        <v>960</v>
      </c>
      <c r="Q173" s="415">
        <f>SUM(Q174:Q176)</f>
        <v>300</v>
      </c>
      <c r="R173" s="485"/>
      <c r="S173" s="485"/>
      <c r="T173" s="562"/>
      <c r="U173" s="523"/>
      <c r="V173" s="483">
        <f t="shared" si="8"/>
        <v>2220</v>
      </c>
    </row>
    <row r="174" spans="1:22" ht="26.25" customHeight="1">
      <c r="A174" s="56"/>
      <c r="B174" s="51"/>
      <c r="C174" s="576"/>
      <c r="D174" s="225"/>
      <c r="E174" s="103"/>
      <c r="F174" s="104"/>
      <c r="G174" s="104"/>
      <c r="H174" s="372"/>
      <c r="I174" s="185" t="s">
        <v>775</v>
      </c>
      <c r="J174" s="249">
        <v>50000</v>
      </c>
      <c r="K174" s="134" t="s">
        <v>484</v>
      </c>
      <c r="L174" s="54" t="s">
        <v>143</v>
      </c>
      <c r="M174" s="443">
        <f>J174*2*12/1000</f>
        <v>1200</v>
      </c>
      <c r="N174" s="523"/>
      <c r="O174" s="415">
        <v>600</v>
      </c>
      <c r="P174" s="415">
        <v>600</v>
      </c>
      <c r="Q174" s="485"/>
      <c r="R174" s="485"/>
      <c r="S174" s="485"/>
      <c r="T174" s="562"/>
      <c r="U174" s="523"/>
      <c r="V174" s="483">
        <f t="shared" si="8"/>
        <v>1200</v>
      </c>
    </row>
    <row r="175" spans="1:22" ht="26.25" customHeight="1">
      <c r="A175" s="56"/>
      <c r="B175" s="51"/>
      <c r="C175" s="576"/>
      <c r="D175" s="225"/>
      <c r="E175" s="103"/>
      <c r="F175" s="104"/>
      <c r="G175" s="104"/>
      <c r="H175" s="372"/>
      <c r="I175" s="186" t="s">
        <v>776</v>
      </c>
      <c r="J175" s="250">
        <v>30000</v>
      </c>
      <c r="K175" s="135" t="s">
        <v>484</v>
      </c>
      <c r="L175" s="49" t="s">
        <v>143</v>
      </c>
      <c r="M175" s="444">
        <f>J175*2*12/1000</f>
        <v>720</v>
      </c>
      <c r="N175" s="523"/>
      <c r="O175" s="415">
        <v>360</v>
      </c>
      <c r="P175" s="415">
        <v>360</v>
      </c>
      <c r="Q175" s="485"/>
      <c r="R175" s="485"/>
      <c r="S175" s="485"/>
      <c r="T175" s="562"/>
      <c r="U175" s="523"/>
      <c r="V175" s="483">
        <f t="shared" si="8"/>
        <v>720</v>
      </c>
    </row>
    <row r="176" spans="1:22" ht="26.25" customHeight="1">
      <c r="A176" s="56"/>
      <c r="B176" s="51"/>
      <c r="C176" s="576"/>
      <c r="D176" s="225"/>
      <c r="E176" s="103"/>
      <c r="F176" s="104"/>
      <c r="G176" s="104"/>
      <c r="H176" s="372"/>
      <c r="I176" s="186" t="s">
        <v>777</v>
      </c>
      <c r="J176" s="250">
        <v>25000</v>
      </c>
      <c r="K176" s="135" t="s">
        <v>411</v>
      </c>
      <c r="L176" s="49" t="s">
        <v>143</v>
      </c>
      <c r="M176" s="444">
        <f>J176*12/1000</f>
        <v>300</v>
      </c>
      <c r="N176" s="523"/>
      <c r="O176" s="415">
        <v>0</v>
      </c>
      <c r="P176" s="415">
        <v>0</v>
      </c>
      <c r="Q176" s="415">
        <v>300</v>
      </c>
      <c r="R176" s="485"/>
      <c r="S176" s="485"/>
      <c r="T176" s="562"/>
      <c r="U176" s="523"/>
      <c r="V176" s="483">
        <f t="shared" si="8"/>
        <v>300</v>
      </c>
    </row>
    <row r="177" spans="1:22" ht="26.25" customHeight="1">
      <c r="A177" s="56"/>
      <c r="B177" s="297"/>
      <c r="C177" s="579"/>
      <c r="D177" s="624"/>
      <c r="E177" s="105"/>
      <c r="F177" s="106"/>
      <c r="G177" s="106"/>
      <c r="H177" s="376"/>
      <c r="I177" s="192" t="s">
        <v>498</v>
      </c>
      <c r="J177" s="260"/>
      <c r="K177" s="135"/>
      <c r="L177" s="49"/>
      <c r="M177" s="538">
        <f>SUM(M178:M179)</f>
        <v>960</v>
      </c>
      <c r="N177" s="523"/>
      <c r="O177" s="415">
        <f>SUM(O178:O179)</f>
        <v>480</v>
      </c>
      <c r="P177" s="415">
        <f>SUM(P178:P179)</f>
        <v>480</v>
      </c>
      <c r="Q177" s="415">
        <f>SUM(Q178:Q179)</f>
        <v>0</v>
      </c>
      <c r="R177" s="485"/>
      <c r="S177" s="485"/>
      <c r="T177" s="562"/>
      <c r="U177" s="523"/>
      <c r="V177" s="483">
        <f t="shared" si="8"/>
        <v>960</v>
      </c>
    </row>
    <row r="178" spans="1:22" ht="26.25" customHeight="1">
      <c r="A178" s="56"/>
      <c r="B178" s="51"/>
      <c r="C178" s="576"/>
      <c r="D178" s="225"/>
      <c r="E178" s="103"/>
      <c r="F178" s="104"/>
      <c r="G178" s="104"/>
      <c r="H178" s="372"/>
      <c r="I178" s="185" t="s">
        <v>775</v>
      </c>
      <c r="J178" s="249">
        <v>50000</v>
      </c>
      <c r="K178" s="134" t="s">
        <v>497</v>
      </c>
      <c r="L178" s="54" t="s">
        <v>143</v>
      </c>
      <c r="M178" s="443">
        <f>J178*1*12/1000</f>
        <v>600</v>
      </c>
      <c r="N178" s="621"/>
      <c r="O178" s="406">
        <v>300</v>
      </c>
      <c r="P178" s="406">
        <v>300</v>
      </c>
      <c r="Q178" s="622"/>
      <c r="R178" s="622"/>
      <c r="S178" s="622"/>
      <c r="T178" s="623"/>
      <c r="U178" s="523"/>
      <c r="V178" s="483">
        <f t="shared" si="8"/>
        <v>600</v>
      </c>
    </row>
    <row r="179" spans="1:22" ht="26.25" customHeight="1">
      <c r="A179" s="56"/>
      <c r="B179" s="52"/>
      <c r="C179" s="577"/>
      <c r="D179" s="552"/>
      <c r="E179" s="109"/>
      <c r="F179" s="110"/>
      <c r="G179" s="110"/>
      <c r="H179" s="374"/>
      <c r="I179" s="193" t="s">
        <v>776</v>
      </c>
      <c r="J179" s="261">
        <v>30000</v>
      </c>
      <c r="K179" s="139" t="s">
        <v>497</v>
      </c>
      <c r="L179" s="50" t="s">
        <v>143</v>
      </c>
      <c r="M179" s="461">
        <f>J179*1*12/1000</f>
        <v>360</v>
      </c>
      <c r="N179" s="524"/>
      <c r="O179" s="432">
        <v>180</v>
      </c>
      <c r="P179" s="432">
        <v>180</v>
      </c>
      <c r="Q179" s="571"/>
      <c r="R179" s="571"/>
      <c r="S179" s="571"/>
      <c r="T179" s="572"/>
      <c r="U179" s="523"/>
      <c r="V179" s="483">
        <f t="shared" si="8"/>
        <v>360</v>
      </c>
    </row>
    <row r="180" spans="1:22" ht="26.25" customHeight="1">
      <c r="A180" s="56"/>
      <c r="B180" s="57"/>
      <c r="C180" s="578"/>
      <c r="D180" s="231"/>
      <c r="E180" s="304"/>
      <c r="F180" s="305"/>
      <c r="G180" s="305"/>
      <c r="H180" s="375"/>
      <c r="I180" s="240" t="s">
        <v>757</v>
      </c>
      <c r="J180" s="257"/>
      <c r="K180" s="133"/>
      <c r="L180" s="61"/>
      <c r="M180" s="642">
        <f>SUM(M181:M182)</f>
        <v>960</v>
      </c>
      <c r="N180" s="566"/>
      <c r="O180" s="469">
        <f>SUM(O181:O182)</f>
        <v>0</v>
      </c>
      <c r="P180" s="469">
        <f>SUM(P181:P182)</f>
        <v>960</v>
      </c>
      <c r="Q180" s="469">
        <f>SUM(Q181:Q182)</f>
        <v>0</v>
      </c>
      <c r="R180" s="567"/>
      <c r="S180" s="567"/>
      <c r="T180" s="568"/>
      <c r="U180" s="523"/>
      <c r="V180" s="483">
        <f t="shared" si="8"/>
        <v>960</v>
      </c>
    </row>
    <row r="181" spans="1:22" ht="26.25" customHeight="1">
      <c r="A181" s="56"/>
      <c r="B181" s="51"/>
      <c r="C181" s="576"/>
      <c r="D181" s="225"/>
      <c r="E181" s="103"/>
      <c r="F181" s="104"/>
      <c r="G181" s="104"/>
      <c r="H181" s="372"/>
      <c r="I181" s="185" t="s">
        <v>775</v>
      </c>
      <c r="J181" s="249">
        <v>50000</v>
      </c>
      <c r="K181" s="134" t="s">
        <v>497</v>
      </c>
      <c r="L181" s="54" t="s">
        <v>143</v>
      </c>
      <c r="M181" s="443">
        <f>J181*1*12/1000</f>
        <v>600</v>
      </c>
      <c r="N181" s="523"/>
      <c r="O181" s="415">
        <v>0</v>
      </c>
      <c r="P181" s="415">
        <v>600</v>
      </c>
      <c r="Q181" s="485"/>
      <c r="R181" s="485"/>
      <c r="S181" s="485"/>
      <c r="T181" s="562"/>
      <c r="U181" s="523"/>
      <c r="V181" s="483">
        <f t="shared" si="8"/>
        <v>600</v>
      </c>
    </row>
    <row r="182" spans="1:22" ht="26.25" customHeight="1">
      <c r="A182" s="56"/>
      <c r="B182" s="51"/>
      <c r="C182" s="576"/>
      <c r="D182" s="225"/>
      <c r="E182" s="103"/>
      <c r="F182" s="104"/>
      <c r="G182" s="104"/>
      <c r="H182" s="372"/>
      <c r="I182" s="186" t="s">
        <v>776</v>
      </c>
      <c r="J182" s="250">
        <v>30000</v>
      </c>
      <c r="K182" s="135" t="s">
        <v>497</v>
      </c>
      <c r="L182" s="49" t="s">
        <v>143</v>
      </c>
      <c r="M182" s="444">
        <f>J182*1*12/1000</f>
        <v>360</v>
      </c>
      <c r="N182" s="523"/>
      <c r="O182" s="415">
        <v>0</v>
      </c>
      <c r="P182" s="415">
        <v>360</v>
      </c>
      <c r="Q182" s="485"/>
      <c r="R182" s="485"/>
      <c r="S182" s="485"/>
      <c r="T182" s="562"/>
      <c r="U182" s="523"/>
      <c r="V182" s="483">
        <f t="shared" si="8"/>
        <v>360</v>
      </c>
    </row>
    <row r="183" spans="1:22" ht="26.25" customHeight="1">
      <c r="A183" s="56"/>
      <c r="B183" s="51"/>
      <c r="C183" s="576"/>
      <c r="D183" s="220"/>
      <c r="E183" s="103"/>
      <c r="F183" s="104"/>
      <c r="G183" s="104"/>
      <c r="H183" s="372"/>
      <c r="I183" s="187"/>
      <c r="J183" s="251"/>
      <c r="K183" s="136"/>
      <c r="L183" s="55"/>
      <c r="M183" s="442"/>
      <c r="N183" s="523"/>
      <c r="O183" s="485"/>
      <c r="P183" s="485"/>
      <c r="Q183" s="485"/>
      <c r="R183" s="485"/>
      <c r="S183" s="485"/>
      <c r="T183" s="562"/>
      <c r="U183" s="523"/>
      <c r="V183" s="483">
        <f t="shared" si="8"/>
        <v>0</v>
      </c>
    </row>
    <row r="184" spans="1:22" ht="26.25" customHeight="1">
      <c r="A184" s="56"/>
      <c r="B184" s="51"/>
      <c r="C184" s="705" t="s">
        <v>211</v>
      </c>
      <c r="D184" s="689"/>
      <c r="E184" s="99">
        <f>E185+E189+E192</f>
        <v>17600</v>
      </c>
      <c r="F184" s="99">
        <f>F185+F189+F192</f>
        <v>4100</v>
      </c>
      <c r="G184" s="315">
        <f>E184-F184</f>
        <v>13500</v>
      </c>
      <c r="H184" s="368">
        <f>G184/F184</f>
        <v>3.292682926829268</v>
      </c>
      <c r="I184" s="183"/>
      <c r="J184" s="247"/>
      <c r="K184" s="132"/>
      <c r="L184" s="62"/>
      <c r="M184" s="441">
        <f>M186+M190+M193</f>
        <v>17600</v>
      </c>
      <c r="N184" s="520">
        <f>SUM(N186+N191+N195+N199+N204+N207+N217+N220+N226)</f>
        <v>0</v>
      </c>
      <c r="O184" s="399">
        <f aca="true" t="shared" si="13" ref="O184:T184">SUM(O186+O190+O193)</f>
        <v>4800</v>
      </c>
      <c r="P184" s="399">
        <f t="shared" si="13"/>
        <v>4800</v>
      </c>
      <c r="Q184" s="399">
        <f t="shared" si="13"/>
        <v>0</v>
      </c>
      <c r="R184" s="399">
        <f t="shared" si="13"/>
        <v>2759</v>
      </c>
      <c r="S184" s="399">
        <f t="shared" si="13"/>
        <v>5241</v>
      </c>
      <c r="T184" s="400">
        <f t="shared" si="13"/>
        <v>0</v>
      </c>
      <c r="U184" s="523"/>
      <c r="V184" s="483">
        <f t="shared" si="8"/>
        <v>17600</v>
      </c>
    </row>
    <row r="185" spans="1:22" ht="26.25" customHeight="1">
      <c r="A185" s="56"/>
      <c r="B185" s="51"/>
      <c r="C185" s="576"/>
      <c r="D185" s="219" t="s">
        <v>174</v>
      </c>
      <c r="E185" s="103">
        <f>M186</f>
        <v>7200</v>
      </c>
      <c r="F185" s="104">
        <v>600</v>
      </c>
      <c r="G185" s="104">
        <f>E185-F185</f>
        <v>6600</v>
      </c>
      <c r="H185" s="372">
        <f>G185/F185</f>
        <v>11</v>
      </c>
      <c r="I185" s="240"/>
      <c r="J185" s="257"/>
      <c r="K185" s="133"/>
      <c r="L185" s="61"/>
      <c r="M185" s="446"/>
      <c r="N185" s="523"/>
      <c r="O185" s="485"/>
      <c r="P185" s="485"/>
      <c r="Q185" s="485"/>
      <c r="R185" s="485"/>
      <c r="S185" s="485"/>
      <c r="T185" s="562"/>
      <c r="U185" s="523"/>
      <c r="V185" s="483">
        <f t="shared" si="8"/>
        <v>0</v>
      </c>
    </row>
    <row r="186" spans="1:22" ht="26.25" customHeight="1">
      <c r="A186" s="56"/>
      <c r="B186" s="51"/>
      <c r="C186" s="576"/>
      <c r="D186" s="220" t="s">
        <v>428</v>
      </c>
      <c r="E186" s="103"/>
      <c r="F186" s="104"/>
      <c r="G186" s="104"/>
      <c r="H186" s="372"/>
      <c r="I186" s="238" t="s">
        <v>696</v>
      </c>
      <c r="J186" s="258"/>
      <c r="K186" s="140"/>
      <c r="L186" s="28"/>
      <c r="M186" s="533">
        <f>SUM(M187:M188)</f>
        <v>7200</v>
      </c>
      <c r="N186" s="523"/>
      <c r="O186" s="497">
        <f>SUM(O187:O188)</f>
        <v>3600</v>
      </c>
      <c r="P186" s="497">
        <f>SUM(P187:P188)</f>
        <v>3600</v>
      </c>
      <c r="Q186" s="485"/>
      <c r="R186" s="485"/>
      <c r="S186" s="485"/>
      <c r="T186" s="562"/>
      <c r="U186" s="523"/>
      <c r="V186" s="483">
        <f t="shared" si="8"/>
        <v>7200</v>
      </c>
    </row>
    <row r="187" spans="1:22" ht="26.25" customHeight="1">
      <c r="A187" s="56"/>
      <c r="B187" s="51"/>
      <c r="C187" s="576"/>
      <c r="D187" s="220"/>
      <c r="E187" s="103"/>
      <c r="F187" s="104"/>
      <c r="G187" s="104"/>
      <c r="H187" s="372"/>
      <c r="I187" s="185" t="s">
        <v>429</v>
      </c>
      <c r="J187" s="249">
        <v>300000</v>
      </c>
      <c r="K187" s="134" t="s">
        <v>422</v>
      </c>
      <c r="L187" s="54" t="s">
        <v>143</v>
      </c>
      <c r="M187" s="443">
        <f>J187*12/1000</f>
        <v>3600</v>
      </c>
      <c r="N187" s="523"/>
      <c r="O187" s="415">
        <v>1800</v>
      </c>
      <c r="P187" s="415">
        <v>1800</v>
      </c>
      <c r="Q187" s="485"/>
      <c r="R187" s="485"/>
      <c r="S187" s="485"/>
      <c r="T187" s="562"/>
      <c r="U187" s="523"/>
      <c r="V187" s="483">
        <f t="shared" si="8"/>
        <v>3600</v>
      </c>
    </row>
    <row r="188" spans="1:22" ht="26.25" customHeight="1">
      <c r="A188" s="56"/>
      <c r="B188" s="51"/>
      <c r="C188" s="576"/>
      <c r="D188" s="221"/>
      <c r="E188" s="105"/>
      <c r="F188" s="106"/>
      <c r="G188" s="106"/>
      <c r="H188" s="376"/>
      <c r="I188" s="186" t="s">
        <v>430</v>
      </c>
      <c r="J188" s="250">
        <v>300000</v>
      </c>
      <c r="K188" s="135" t="s">
        <v>422</v>
      </c>
      <c r="L188" s="49" t="s">
        <v>143</v>
      </c>
      <c r="M188" s="444">
        <f>J188*12/1000</f>
        <v>3600</v>
      </c>
      <c r="N188" s="523"/>
      <c r="O188" s="415">
        <v>1800</v>
      </c>
      <c r="P188" s="415">
        <v>1800</v>
      </c>
      <c r="Q188" s="485"/>
      <c r="R188" s="485"/>
      <c r="S188" s="485"/>
      <c r="T188" s="562"/>
      <c r="U188" s="523"/>
      <c r="V188" s="483">
        <f t="shared" si="8"/>
        <v>3600</v>
      </c>
    </row>
    <row r="189" spans="1:22" ht="26.25" customHeight="1">
      <c r="A189" s="56"/>
      <c r="B189" s="51"/>
      <c r="C189" s="576"/>
      <c r="D189" s="222" t="s">
        <v>196</v>
      </c>
      <c r="E189" s="101">
        <f>M190</f>
        <v>2400</v>
      </c>
      <c r="F189" s="102">
        <v>2000</v>
      </c>
      <c r="G189" s="104">
        <f>E189-F189</f>
        <v>400</v>
      </c>
      <c r="H189" s="372">
        <f>G189/F189</f>
        <v>0.2</v>
      </c>
      <c r="I189" s="238"/>
      <c r="J189" s="255"/>
      <c r="K189" s="140"/>
      <c r="L189" s="28"/>
      <c r="M189" s="447"/>
      <c r="N189" s="523"/>
      <c r="O189" s="415"/>
      <c r="P189" s="415"/>
      <c r="Q189" s="485"/>
      <c r="R189" s="485"/>
      <c r="S189" s="485"/>
      <c r="T189" s="562"/>
      <c r="U189" s="523"/>
      <c r="V189" s="483">
        <f t="shared" si="8"/>
        <v>0</v>
      </c>
    </row>
    <row r="190" spans="1:22" ht="26.25" customHeight="1">
      <c r="A190" s="56"/>
      <c r="B190" s="51"/>
      <c r="C190" s="576"/>
      <c r="D190" s="219"/>
      <c r="E190" s="103"/>
      <c r="F190" s="104"/>
      <c r="G190" s="104"/>
      <c r="H190" s="372"/>
      <c r="I190" s="238" t="s">
        <v>696</v>
      </c>
      <c r="J190" s="255"/>
      <c r="K190" s="140"/>
      <c r="L190" s="28"/>
      <c r="M190" s="533">
        <f>SUM(M191)</f>
        <v>2400</v>
      </c>
      <c r="N190" s="523"/>
      <c r="O190" s="497">
        <f>SUM(O191)</f>
        <v>1200</v>
      </c>
      <c r="P190" s="497">
        <f>SUM(P191)</f>
        <v>1200</v>
      </c>
      <c r="Q190" s="485"/>
      <c r="R190" s="485"/>
      <c r="S190" s="485"/>
      <c r="T190" s="562"/>
      <c r="U190" s="523"/>
      <c r="V190" s="483">
        <f t="shared" si="8"/>
        <v>2400</v>
      </c>
    </row>
    <row r="191" spans="1:22" ht="26.25" customHeight="1">
      <c r="A191" s="56"/>
      <c r="B191" s="51"/>
      <c r="C191" s="576"/>
      <c r="D191" s="221" t="s">
        <v>150</v>
      </c>
      <c r="E191" s="105"/>
      <c r="F191" s="106"/>
      <c r="G191" s="106"/>
      <c r="H191" s="376"/>
      <c r="I191" s="185" t="s">
        <v>433</v>
      </c>
      <c r="J191" s="249">
        <v>200000</v>
      </c>
      <c r="K191" s="134" t="s">
        <v>422</v>
      </c>
      <c r="L191" s="54" t="s">
        <v>143</v>
      </c>
      <c r="M191" s="443">
        <f>J191*12/1000</f>
        <v>2400</v>
      </c>
      <c r="N191" s="523"/>
      <c r="O191" s="415">
        <v>1200</v>
      </c>
      <c r="P191" s="415">
        <v>1200</v>
      </c>
      <c r="Q191" s="485"/>
      <c r="R191" s="485"/>
      <c r="S191" s="485"/>
      <c r="T191" s="562"/>
      <c r="U191" s="523"/>
      <c r="V191" s="483">
        <f t="shared" si="8"/>
        <v>2400</v>
      </c>
    </row>
    <row r="192" spans="1:22" ht="26.25" customHeight="1">
      <c r="A192" s="56"/>
      <c r="B192" s="51"/>
      <c r="C192" s="576"/>
      <c r="D192" s="222" t="s">
        <v>197</v>
      </c>
      <c r="E192" s="101">
        <f>M193</f>
        <v>8000</v>
      </c>
      <c r="F192" s="102">
        <v>1500</v>
      </c>
      <c r="G192" s="104">
        <f>E192-F192</f>
        <v>6500</v>
      </c>
      <c r="H192" s="372">
        <f>G192/F192</f>
        <v>4.333333333333333</v>
      </c>
      <c r="I192" s="238"/>
      <c r="J192" s="255"/>
      <c r="K192" s="140"/>
      <c r="L192" s="28"/>
      <c r="M192" s="447"/>
      <c r="N192" s="523"/>
      <c r="O192" s="415"/>
      <c r="P192" s="415"/>
      <c r="Q192" s="485"/>
      <c r="R192" s="485"/>
      <c r="S192" s="485"/>
      <c r="T192" s="562"/>
      <c r="U192" s="523"/>
      <c r="V192" s="483">
        <f t="shared" si="8"/>
        <v>0</v>
      </c>
    </row>
    <row r="193" spans="1:22" ht="26.25" customHeight="1">
      <c r="A193" s="56"/>
      <c r="B193" s="51"/>
      <c r="C193" s="576"/>
      <c r="D193" s="220" t="s">
        <v>151</v>
      </c>
      <c r="E193" s="103"/>
      <c r="F193" s="104"/>
      <c r="G193" s="104"/>
      <c r="H193" s="372"/>
      <c r="I193" s="238" t="s">
        <v>696</v>
      </c>
      <c r="J193" s="249"/>
      <c r="K193" s="134"/>
      <c r="L193" s="54"/>
      <c r="M193" s="533">
        <f>SUM(M194:M198)</f>
        <v>8000</v>
      </c>
      <c r="N193" s="523"/>
      <c r="O193" s="497">
        <f aca="true" t="shared" si="14" ref="O193:T193">SUM(O194:O198)</f>
        <v>0</v>
      </c>
      <c r="P193" s="497">
        <f t="shared" si="14"/>
        <v>0</v>
      </c>
      <c r="Q193" s="497">
        <f t="shared" si="14"/>
        <v>0</v>
      </c>
      <c r="R193" s="497">
        <f t="shared" si="14"/>
        <v>2759</v>
      </c>
      <c r="S193" s="497">
        <f t="shared" si="14"/>
        <v>5241</v>
      </c>
      <c r="T193" s="563">
        <f t="shared" si="14"/>
        <v>0</v>
      </c>
      <c r="U193" s="523"/>
      <c r="V193" s="483">
        <f t="shared" si="8"/>
        <v>8000</v>
      </c>
    </row>
    <row r="194" spans="1:22" ht="26.25" customHeight="1">
      <c r="A194" s="56"/>
      <c r="B194" s="51"/>
      <c r="C194" s="576"/>
      <c r="D194" s="220"/>
      <c r="E194" s="103"/>
      <c r="F194" s="104"/>
      <c r="G194" s="104"/>
      <c r="H194" s="372"/>
      <c r="I194" s="186" t="s">
        <v>434</v>
      </c>
      <c r="J194" s="250">
        <v>100000</v>
      </c>
      <c r="K194" s="135" t="s">
        <v>384</v>
      </c>
      <c r="L194" s="54" t="s">
        <v>143</v>
      </c>
      <c r="M194" s="444">
        <f>J194*6/1000</f>
        <v>600</v>
      </c>
      <c r="N194" s="523"/>
      <c r="O194" s="415"/>
      <c r="P194" s="415"/>
      <c r="Q194" s="485"/>
      <c r="R194" s="485"/>
      <c r="S194" s="415">
        <v>600</v>
      </c>
      <c r="T194" s="562"/>
      <c r="U194" s="523"/>
      <c r="V194" s="483">
        <f t="shared" si="8"/>
        <v>600</v>
      </c>
    </row>
    <row r="195" spans="1:22" ht="26.25" customHeight="1">
      <c r="A195" s="56"/>
      <c r="B195" s="52"/>
      <c r="C195" s="577"/>
      <c r="D195" s="223"/>
      <c r="E195" s="109"/>
      <c r="F195" s="110"/>
      <c r="G195" s="110"/>
      <c r="H195" s="374"/>
      <c r="I195" s="193" t="s">
        <v>435</v>
      </c>
      <c r="J195" s="261">
        <v>200000</v>
      </c>
      <c r="K195" s="139" t="s">
        <v>439</v>
      </c>
      <c r="L195" s="308" t="s">
        <v>143</v>
      </c>
      <c r="M195" s="461">
        <f>J195*3*4/1000</f>
        <v>2400</v>
      </c>
      <c r="N195" s="524"/>
      <c r="O195" s="432"/>
      <c r="P195" s="432"/>
      <c r="Q195" s="571"/>
      <c r="R195" s="432"/>
      <c r="S195" s="432">
        <v>2400</v>
      </c>
      <c r="T195" s="572"/>
      <c r="U195" s="523"/>
      <c r="V195" s="483">
        <f t="shared" si="8"/>
        <v>2400</v>
      </c>
    </row>
    <row r="196" spans="1:22" ht="26.25" customHeight="1">
      <c r="A196" s="56"/>
      <c r="B196" s="57"/>
      <c r="C196" s="578"/>
      <c r="D196" s="303"/>
      <c r="E196" s="304"/>
      <c r="F196" s="305"/>
      <c r="G196" s="305"/>
      <c r="H196" s="375"/>
      <c r="I196" s="184" t="s">
        <v>437</v>
      </c>
      <c r="J196" s="248">
        <v>200000</v>
      </c>
      <c r="K196" s="133" t="s">
        <v>440</v>
      </c>
      <c r="L196" s="242" t="s">
        <v>143</v>
      </c>
      <c r="M196" s="446">
        <f>J196*4/1000</f>
        <v>800</v>
      </c>
      <c r="N196" s="566"/>
      <c r="O196" s="469"/>
      <c r="P196" s="469"/>
      <c r="Q196" s="567"/>
      <c r="R196" s="469"/>
      <c r="S196" s="469">
        <v>800</v>
      </c>
      <c r="T196" s="568"/>
      <c r="U196" s="523"/>
      <c r="V196" s="483">
        <f t="shared" si="8"/>
        <v>800</v>
      </c>
    </row>
    <row r="197" spans="1:22" ht="26.25" customHeight="1">
      <c r="A197" s="56"/>
      <c r="B197" s="51"/>
      <c r="C197" s="576"/>
      <c r="D197" s="220"/>
      <c r="E197" s="103"/>
      <c r="F197" s="104"/>
      <c r="G197" s="104"/>
      <c r="H197" s="372"/>
      <c r="I197" s="187" t="s">
        <v>436</v>
      </c>
      <c r="J197" s="251">
        <v>200000</v>
      </c>
      <c r="K197" s="136" t="s">
        <v>422</v>
      </c>
      <c r="L197" s="54" t="s">
        <v>143</v>
      </c>
      <c r="M197" s="442">
        <f>J197*12/1000</f>
        <v>2400</v>
      </c>
      <c r="N197" s="523"/>
      <c r="O197" s="415"/>
      <c r="P197" s="415"/>
      <c r="Q197" s="485"/>
      <c r="R197" s="415">
        <v>959</v>
      </c>
      <c r="S197" s="415">
        <v>1441</v>
      </c>
      <c r="T197" s="562"/>
      <c r="U197" s="523"/>
      <c r="V197" s="483">
        <f t="shared" si="8"/>
        <v>2400</v>
      </c>
    </row>
    <row r="198" spans="1:22" ht="26.25" customHeight="1">
      <c r="A198" s="56"/>
      <c r="B198" s="51"/>
      <c r="C198" s="576"/>
      <c r="D198" s="220"/>
      <c r="E198" s="103"/>
      <c r="F198" s="104"/>
      <c r="G198" s="104"/>
      <c r="H198" s="372"/>
      <c r="I198" s="187" t="s">
        <v>438</v>
      </c>
      <c r="J198" s="251">
        <v>150000</v>
      </c>
      <c r="K198" s="136" t="s">
        <v>391</v>
      </c>
      <c r="L198" s="55" t="s">
        <v>143</v>
      </c>
      <c r="M198" s="442">
        <f>J198*12/1000</f>
        <v>1800</v>
      </c>
      <c r="N198" s="523"/>
      <c r="O198" s="415"/>
      <c r="P198" s="415"/>
      <c r="Q198" s="485"/>
      <c r="R198" s="415">
        <v>1800</v>
      </c>
      <c r="S198" s="485"/>
      <c r="T198" s="562"/>
      <c r="U198" s="523"/>
      <c r="V198" s="483">
        <f t="shared" si="8"/>
        <v>1800</v>
      </c>
    </row>
    <row r="199" spans="1:22" ht="26.25" customHeight="1">
      <c r="A199" s="56"/>
      <c r="B199" s="51"/>
      <c r="C199" s="705" t="s">
        <v>212</v>
      </c>
      <c r="D199" s="689"/>
      <c r="E199" s="99">
        <f>E200+E205+E212+E220+E241+E246</f>
        <v>45764.406</v>
      </c>
      <c r="F199" s="99">
        <f>F200+F205+F212+F220+F241+F246</f>
        <v>44966</v>
      </c>
      <c r="G199" s="315">
        <f>E199-F199</f>
        <v>798.4060000000027</v>
      </c>
      <c r="H199" s="368">
        <f>G199/F199</f>
        <v>0.017755771026998237</v>
      </c>
      <c r="I199" s="183"/>
      <c r="J199" s="247"/>
      <c r="K199" s="132"/>
      <c r="L199" s="62"/>
      <c r="M199" s="441">
        <f>M200+M206+M213+M220+M243+M246</f>
        <v>45764.406</v>
      </c>
      <c r="N199" s="520">
        <f>SUM(N201+N206+N210+N214+N219+N222+N232+N235+N241)</f>
        <v>0</v>
      </c>
      <c r="O199" s="399">
        <f aca="true" t="shared" si="15" ref="O199:T199">SUM(O200+O206+O213+O220+O243+O246)</f>
        <v>1590</v>
      </c>
      <c r="P199" s="399">
        <f t="shared" si="15"/>
        <v>1612</v>
      </c>
      <c r="Q199" s="399">
        <f t="shared" si="15"/>
        <v>40462</v>
      </c>
      <c r="R199" s="399">
        <f t="shared" si="15"/>
        <v>2100</v>
      </c>
      <c r="S199" s="399">
        <f t="shared" si="15"/>
        <v>0</v>
      </c>
      <c r="T199" s="400">
        <f t="shared" si="15"/>
        <v>0</v>
      </c>
      <c r="U199" s="523"/>
      <c r="V199" s="483">
        <f>SUM(N199:T199)</f>
        <v>45764</v>
      </c>
    </row>
    <row r="200" spans="1:22" ht="26.25" customHeight="1">
      <c r="A200" s="56"/>
      <c r="B200" s="51"/>
      <c r="C200" s="576"/>
      <c r="D200" s="219" t="s">
        <v>198</v>
      </c>
      <c r="E200" s="103">
        <f>M200</f>
        <v>1960</v>
      </c>
      <c r="F200" s="104">
        <v>958</v>
      </c>
      <c r="G200" s="104">
        <f>E200-F200</f>
        <v>1002</v>
      </c>
      <c r="H200" s="372">
        <f>G200/F200</f>
        <v>1.0459290187891441</v>
      </c>
      <c r="I200" s="240" t="s">
        <v>441</v>
      </c>
      <c r="J200" s="257"/>
      <c r="K200" s="133"/>
      <c r="L200" s="61"/>
      <c r="M200" s="530">
        <f>M201+M204</f>
        <v>1960</v>
      </c>
      <c r="N200" s="523"/>
      <c r="O200" s="497">
        <f aca="true" t="shared" si="16" ref="O200:T200">SUM(O201:O204)</f>
        <v>315</v>
      </c>
      <c r="P200" s="497">
        <f t="shared" si="16"/>
        <v>337</v>
      </c>
      <c r="Q200" s="497">
        <f t="shared" si="16"/>
        <v>1308</v>
      </c>
      <c r="R200" s="497">
        <f t="shared" si="16"/>
        <v>0</v>
      </c>
      <c r="S200" s="497">
        <f t="shared" si="16"/>
        <v>0</v>
      </c>
      <c r="T200" s="563">
        <f t="shared" si="16"/>
        <v>0</v>
      </c>
      <c r="U200" s="523"/>
      <c r="V200" s="483">
        <f aca="true" t="shared" si="17" ref="V200:V262">SUM(N200:T200)</f>
        <v>1960</v>
      </c>
    </row>
    <row r="201" spans="1:22" ht="26.25" customHeight="1">
      <c r="A201" s="56"/>
      <c r="B201" s="51"/>
      <c r="C201" s="576"/>
      <c r="D201" s="220" t="s">
        <v>152</v>
      </c>
      <c r="E201" s="103"/>
      <c r="F201" s="104"/>
      <c r="G201" s="104"/>
      <c r="H201" s="372"/>
      <c r="I201" s="238" t="s">
        <v>696</v>
      </c>
      <c r="J201" s="258"/>
      <c r="K201" s="140"/>
      <c r="L201" s="28"/>
      <c r="M201" s="534">
        <f>SUM(M202)</f>
        <v>1560</v>
      </c>
      <c r="N201" s="523"/>
      <c r="O201" s="415"/>
      <c r="P201" s="415"/>
      <c r="Q201" s="485"/>
      <c r="R201" s="485"/>
      <c r="S201" s="485"/>
      <c r="T201" s="562"/>
      <c r="U201" s="523"/>
      <c r="V201" s="483">
        <f t="shared" si="17"/>
        <v>0</v>
      </c>
    </row>
    <row r="202" spans="1:22" ht="26.25" customHeight="1">
      <c r="A202" s="56"/>
      <c r="B202" s="51"/>
      <c r="C202" s="576"/>
      <c r="D202" s="220"/>
      <c r="E202" s="103"/>
      <c r="F202" s="104"/>
      <c r="G202" s="104"/>
      <c r="H202" s="372"/>
      <c r="I202" s="185" t="s">
        <v>442</v>
      </c>
      <c r="J202" s="249">
        <v>130000</v>
      </c>
      <c r="K202" s="134" t="s">
        <v>391</v>
      </c>
      <c r="L202" s="54" t="s">
        <v>143</v>
      </c>
      <c r="M202" s="443">
        <f>J202*12/1000</f>
        <v>1560</v>
      </c>
      <c r="N202" s="523"/>
      <c r="O202" s="415">
        <v>115</v>
      </c>
      <c r="P202" s="415">
        <v>137</v>
      </c>
      <c r="Q202" s="415">
        <v>1308</v>
      </c>
      <c r="R202" s="485"/>
      <c r="S202" s="485"/>
      <c r="T202" s="562"/>
      <c r="U202" s="523"/>
      <c r="V202" s="483">
        <f t="shared" si="17"/>
        <v>1560</v>
      </c>
    </row>
    <row r="203" spans="1:22" ht="26.25" customHeight="1">
      <c r="A203" s="56"/>
      <c r="B203" s="51"/>
      <c r="C203" s="576"/>
      <c r="D203" s="220"/>
      <c r="E203" s="103"/>
      <c r="F203" s="104"/>
      <c r="G203" s="104"/>
      <c r="H203" s="372"/>
      <c r="I203" s="238" t="s">
        <v>382</v>
      </c>
      <c r="J203" s="258"/>
      <c r="K203" s="140"/>
      <c r="L203" s="28"/>
      <c r="M203" s="447"/>
      <c r="N203" s="621"/>
      <c r="O203" s="406"/>
      <c r="P203" s="406"/>
      <c r="Q203" s="406"/>
      <c r="R203" s="622"/>
      <c r="S203" s="622"/>
      <c r="T203" s="623"/>
      <c r="U203" s="523"/>
      <c r="V203" s="483">
        <f t="shared" si="17"/>
        <v>0</v>
      </c>
    </row>
    <row r="204" spans="1:22" ht="26.25" customHeight="1">
      <c r="A204" s="56"/>
      <c r="B204" s="51"/>
      <c r="C204" s="576"/>
      <c r="D204" s="220"/>
      <c r="E204" s="103"/>
      <c r="F204" s="104"/>
      <c r="G204" s="106"/>
      <c r="H204" s="376"/>
      <c r="I204" s="185" t="s">
        <v>442</v>
      </c>
      <c r="J204" s="249">
        <v>200000</v>
      </c>
      <c r="K204" s="134" t="s">
        <v>486</v>
      </c>
      <c r="L204" s="54" t="s">
        <v>143</v>
      </c>
      <c r="M204" s="443">
        <f>J204*2/1000</f>
        <v>400</v>
      </c>
      <c r="N204" s="523"/>
      <c r="O204" s="415">
        <v>200</v>
      </c>
      <c r="P204" s="415">
        <v>200</v>
      </c>
      <c r="Q204" s="415">
        <v>0</v>
      </c>
      <c r="R204" s="485"/>
      <c r="S204" s="485"/>
      <c r="T204" s="562"/>
      <c r="U204" s="523"/>
      <c r="V204" s="483">
        <f t="shared" si="17"/>
        <v>400</v>
      </c>
    </row>
    <row r="205" spans="1:22" ht="26.25" customHeight="1">
      <c r="A205" s="56"/>
      <c r="B205" s="51"/>
      <c r="C205" s="576"/>
      <c r="D205" s="222" t="s">
        <v>199</v>
      </c>
      <c r="E205" s="101">
        <f>M206</f>
        <v>14774.406</v>
      </c>
      <c r="F205" s="102">
        <v>16406</v>
      </c>
      <c r="G205" s="313">
        <f>E205-F205</f>
        <v>-1631.5939999999991</v>
      </c>
      <c r="H205" s="314">
        <f>G205/F205</f>
        <v>-0.09945105449225888</v>
      </c>
      <c r="I205" s="238"/>
      <c r="J205" s="255"/>
      <c r="K205" s="140"/>
      <c r="L205" s="28"/>
      <c r="M205" s="447"/>
      <c r="N205" s="523"/>
      <c r="O205" s="415"/>
      <c r="P205" s="415"/>
      <c r="Q205" s="485"/>
      <c r="R205" s="485"/>
      <c r="S205" s="485"/>
      <c r="T205" s="562"/>
      <c r="U205" s="523"/>
      <c r="V205" s="483">
        <f t="shared" si="17"/>
        <v>0</v>
      </c>
    </row>
    <row r="206" spans="1:22" ht="26.25" customHeight="1">
      <c r="A206" s="56"/>
      <c r="B206" s="51"/>
      <c r="C206" s="576"/>
      <c r="D206" s="220" t="s">
        <v>153</v>
      </c>
      <c r="E206" s="103"/>
      <c r="F206" s="104"/>
      <c r="G206" s="104"/>
      <c r="H206" s="372"/>
      <c r="I206" s="239" t="s">
        <v>443</v>
      </c>
      <c r="J206" s="249"/>
      <c r="K206" s="134"/>
      <c r="L206" s="54"/>
      <c r="M206" s="539">
        <f>M207+M211</f>
        <v>14774.406</v>
      </c>
      <c r="N206" s="523"/>
      <c r="O206" s="497">
        <f aca="true" t="shared" si="18" ref="O206:T206">SUM(O207:O211)</f>
        <v>0</v>
      </c>
      <c r="P206" s="497">
        <f t="shared" si="18"/>
        <v>0</v>
      </c>
      <c r="Q206" s="497">
        <f t="shared" si="18"/>
        <v>14400</v>
      </c>
      <c r="R206" s="497">
        <f t="shared" si="18"/>
        <v>374</v>
      </c>
      <c r="S206" s="497">
        <f t="shared" si="18"/>
        <v>0</v>
      </c>
      <c r="T206" s="563">
        <f t="shared" si="18"/>
        <v>0</v>
      </c>
      <c r="U206" s="523"/>
      <c r="V206" s="483">
        <f t="shared" si="17"/>
        <v>14774</v>
      </c>
    </row>
    <row r="207" spans="1:22" ht="26.25" customHeight="1">
      <c r="A207" s="56"/>
      <c r="B207" s="51"/>
      <c r="C207" s="576"/>
      <c r="D207" s="220"/>
      <c r="E207" s="103"/>
      <c r="F207" s="104"/>
      <c r="G207" s="104"/>
      <c r="H207" s="372"/>
      <c r="I207" s="238" t="s">
        <v>696</v>
      </c>
      <c r="J207" s="249"/>
      <c r="K207" s="134"/>
      <c r="L207" s="54"/>
      <c r="M207" s="536">
        <f>SUM(M208,M209)</f>
        <v>14400</v>
      </c>
      <c r="N207" s="523"/>
      <c r="O207" s="415"/>
      <c r="P207" s="415"/>
      <c r="Q207" s="485"/>
      <c r="R207" s="485"/>
      <c r="S207" s="485"/>
      <c r="T207" s="562"/>
      <c r="U207" s="523"/>
      <c r="V207" s="483">
        <f t="shared" si="17"/>
        <v>0</v>
      </c>
    </row>
    <row r="208" spans="1:22" ht="26.25" customHeight="1">
      <c r="A208" s="56"/>
      <c r="B208" s="51"/>
      <c r="C208" s="576"/>
      <c r="D208" s="220"/>
      <c r="E208" s="103"/>
      <c r="F208" s="104"/>
      <c r="G208" s="104"/>
      <c r="H208" s="372"/>
      <c r="I208" s="186" t="s">
        <v>444</v>
      </c>
      <c r="J208" s="250">
        <v>600000</v>
      </c>
      <c r="K208" s="135" t="s">
        <v>391</v>
      </c>
      <c r="L208" s="49" t="s">
        <v>143</v>
      </c>
      <c r="M208" s="444">
        <f>J208*12/1000</f>
        <v>7200</v>
      </c>
      <c r="N208" s="523"/>
      <c r="O208" s="415">
        <v>0</v>
      </c>
      <c r="P208" s="415">
        <v>0</v>
      </c>
      <c r="Q208" s="415">
        <v>7200</v>
      </c>
      <c r="R208" s="485"/>
      <c r="S208" s="485"/>
      <c r="T208" s="562"/>
      <c r="U208" s="523"/>
      <c r="V208" s="483">
        <f t="shared" si="17"/>
        <v>7200</v>
      </c>
    </row>
    <row r="209" spans="1:22" ht="26.25" customHeight="1">
      <c r="A209" s="56"/>
      <c r="B209" s="51"/>
      <c r="C209" s="576"/>
      <c r="D209" s="220"/>
      <c r="E209" s="103"/>
      <c r="F209" s="104"/>
      <c r="G209" s="104"/>
      <c r="H209" s="372"/>
      <c r="I209" s="186" t="s">
        <v>445</v>
      </c>
      <c r="J209" s="250">
        <v>600000</v>
      </c>
      <c r="K209" s="135" t="s">
        <v>422</v>
      </c>
      <c r="L209" s="49" t="s">
        <v>143</v>
      </c>
      <c r="M209" s="444">
        <f>J209*12/1000</f>
        <v>7200</v>
      </c>
      <c r="N209" s="523"/>
      <c r="O209" s="415"/>
      <c r="P209" s="415"/>
      <c r="Q209" s="415">
        <v>7200</v>
      </c>
      <c r="R209" s="485"/>
      <c r="S209" s="485"/>
      <c r="T209" s="562"/>
      <c r="U209" s="523"/>
      <c r="V209" s="483">
        <f t="shared" si="17"/>
        <v>7200</v>
      </c>
    </row>
    <row r="210" spans="1:22" ht="26.25" customHeight="1">
      <c r="A210" s="56"/>
      <c r="B210" s="51"/>
      <c r="C210" s="576"/>
      <c r="D210" s="220"/>
      <c r="E210" s="103"/>
      <c r="F210" s="104"/>
      <c r="G210" s="104"/>
      <c r="H210" s="372"/>
      <c r="I210" s="238" t="s">
        <v>757</v>
      </c>
      <c r="J210" s="250"/>
      <c r="K210" s="135"/>
      <c r="L210" s="49"/>
      <c r="M210" s="444"/>
      <c r="N210" s="523"/>
      <c r="O210" s="415"/>
      <c r="P210" s="415"/>
      <c r="Q210" s="485"/>
      <c r="R210" s="485"/>
      <c r="S210" s="485"/>
      <c r="T210" s="562"/>
      <c r="U210" s="523"/>
      <c r="V210" s="483">
        <f t="shared" si="17"/>
        <v>0</v>
      </c>
    </row>
    <row r="211" spans="1:22" ht="26.25" customHeight="1">
      <c r="A211" s="56"/>
      <c r="B211" s="52"/>
      <c r="C211" s="577"/>
      <c r="D211" s="223"/>
      <c r="E211" s="109"/>
      <c r="F211" s="110"/>
      <c r="G211" s="110"/>
      <c r="H211" s="374"/>
      <c r="I211" s="193" t="s">
        <v>445</v>
      </c>
      <c r="J211" s="261"/>
      <c r="K211" s="139"/>
      <c r="L211" s="50" t="s">
        <v>143</v>
      </c>
      <c r="M211" s="461">
        <f>374406/1000</f>
        <v>374.406</v>
      </c>
      <c r="N211" s="524"/>
      <c r="O211" s="432"/>
      <c r="P211" s="432"/>
      <c r="Q211" s="432">
        <v>0</v>
      </c>
      <c r="R211" s="432">
        <v>374</v>
      </c>
      <c r="S211" s="571"/>
      <c r="T211" s="572"/>
      <c r="U211" s="523"/>
      <c r="V211" s="483">
        <f t="shared" si="17"/>
        <v>374</v>
      </c>
    </row>
    <row r="212" spans="1:22" ht="26.25" customHeight="1">
      <c r="A212" s="56"/>
      <c r="B212" s="57"/>
      <c r="C212" s="578"/>
      <c r="D212" s="276" t="s">
        <v>200</v>
      </c>
      <c r="E212" s="304">
        <f>M213</f>
        <v>14530</v>
      </c>
      <c r="F212" s="305">
        <v>14530</v>
      </c>
      <c r="G212" s="305">
        <f>E212-F212</f>
        <v>0</v>
      </c>
      <c r="H212" s="375">
        <f>G212/F212</f>
        <v>0</v>
      </c>
      <c r="I212" s="240" t="s">
        <v>446</v>
      </c>
      <c r="J212" s="257"/>
      <c r="K212" s="133"/>
      <c r="L212" s="61"/>
      <c r="M212" s="446"/>
      <c r="N212" s="566"/>
      <c r="O212" s="567"/>
      <c r="P212" s="567"/>
      <c r="Q212" s="567"/>
      <c r="R212" s="567"/>
      <c r="S212" s="567"/>
      <c r="T212" s="568"/>
      <c r="U212" s="523"/>
      <c r="V212" s="483">
        <f t="shared" si="17"/>
        <v>0</v>
      </c>
    </row>
    <row r="213" spans="1:22" ht="26.25" customHeight="1">
      <c r="A213" s="56"/>
      <c r="B213" s="51"/>
      <c r="C213" s="576"/>
      <c r="D213" s="220" t="s">
        <v>154</v>
      </c>
      <c r="E213" s="103"/>
      <c r="F213" s="104"/>
      <c r="G213" s="104"/>
      <c r="H213" s="372"/>
      <c r="I213" s="239" t="s">
        <v>696</v>
      </c>
      <c r="J213" s="249"/>
      <c r="K213" s="134"/>
      <c r="L213" s="54"/>
      <c r="M213" s="533">
        <f>SUM(M214:M219)</f>
        <v>14530</v>
      </c>
      <c r="N213" s="523"/>
      <c r="O213" s="497">
        <f aca="true" t="shared" si="19" ref="O213:T213">SUM(O214:O219)</f>
        <v>0</v>
      </c>
      <c r="P213" s="497">
        <f t="shared" si="19"/>
        <v>0</v>
      </c>
      <c r="Q213" s="497">
        <f t="shared" si="19"/>
        <v>14530</v>
      </c>
      <c r="R213" s="497">
        <f t="shared" si="19"/>
        <v>0</v>
      </c>
      <c r="S213" s="497">
        <f t="shared" si="19"/>
        <v>0</v>
      </c>
      <c r="T213" s="563">
        <f t="shared" si="19"/>
        <v>0</v>
      </c>
      <c r="U213" s="523"/>
      <c r="V213" s="483">
        <f t="shared" si="17"/>
        <v>14530</v>
      </c>
    </row>
    <row r="214" spans="1:22" ht="26.25" customHeight="1">
      <c r="A214" s="56"/>
      <c r="B214" s="51"/>
      <c r="C214" s="576"/>
      <c r="D214" s="220"/>
      <c r="E214" s="103"/>
      <c r="F214" s="104"/>
      <c r="G214" s="104"/>
      <c r="H214" s="372"/>
      <c r="I214" s="186" t="s">
        <v>447</v>
      </c>
      <c r="J214" s="250">
        <v>100000</v>
      </c>
      <c r="K214" s="135" t="s">
        <v>452</v>
      </c>
      <c r="L214" s="49" t="s">
        <v>143</v>
      </c>
      <c r="M214" s="444">
        <f>J214*1/1000</f>
        <v>100</v>
      </c>
      <c r="N214" s="523"/>
      <c r="O214" s="415"/>
      <c r="P214" s="415"/>
      <c r="Q214" s="415">
        <v>100</v>
      </c>
      <c r="R214" s="415"/>
      <c r="S214" s="415"/>
      <c r="T214" s="416"/>
      <c r="U214" s="523"/>
      <c r="V214" s="483">
        <f t="shared" si="17"/>
        <v>100</v>
      </c>
    </row>
    <row r="215" spans="1:22" ht="26.25" customHeight="1">
      <c r="A215" s="56"/>
      <c r="B215" s="51"/>
      <c r="C215" s="576"/>
      <c r="D215" s="220"/>
      <c r="E215" s="103"/>
      <c r="F215" s="104"/>
      <c r="G215" s="104"/>
      <c r="H215" s="372"/>
      <c r="I215" s="186" t="s">
        <v>448</v>
      </c>
      <c r="J215" s="250">
        <v>450000</v>
      </c>
      <c r="K215" s="135" t="s">
        <v>422</v>
      </c>
      <c r="L215" s="49" t="s">
        <v>143</v>
      </c>
      <c r="M215" s="444">
        <f>J215*12/1000</f>
        <v>5400</v>
      </c>
      <c r="N215" s="523"/>
      <c r="O215" s="415"/>
      <c r="P215" s="415"/>
      <c r="Q215" s="415">
        <v>5400</v>
      </c>
      <c r="R215" s="415"/>
      <c r="S215" s="415"/>
      <c r="T215" s="416"/>
      <c r="U215" s="523"/>
      <c r="V215" s="483">
        <f t="shared" si="17"/>
        <v>5400</v>
      </c>
    </row>
    <row r="216" spans="1:22" ht="26.25" customHeight="1">
      <c r="A216" s="56"/>
      <c r="B216" s="51"/>
      <c r="C216" s="576"/>
      <c r="D216" s="220"/>
      <c r="E216" s="103"/>
      <c r="F216" s="104"/>
      <c r="G216" s="104"/>
      <c r="H216" s="372"/>
      <c r="I216" s="186" t="s">
        <v>449</v>
      </c>
      <c r="J216" s="250">
        <v>350000</v>
      </c>
      <c r="K216" s="135" t="s">
        <v>422</v>
      </c>
      <c r="L216" s="49" t="s">
        <v>143</v>
      </c>
      <c r="M216" s="444">
        <f>J216*12/1000</f>
        <v>4200</v>
      </c>
      <c r="N216" s="523"/>
      <c r="O216" s="415"/>
      <c r="P216" s="415"/>
      <c r="Q216" s="415">
        <v>4200</v>
      </c>
      <c r="R216" s="415"/>
      <c r="S216" s="415"/>
      <c r="T216" s="416"/>
      <c r="U216" s="523"/>
      <c r="V216" s="483">
        <f t="shared" si="17"/>
        <v>4200</v>
      </c>
    </row>
    <row r="217" spans="1:22" ht="26.25" customHeight="1">
      <c r="A217" s="56"/>
      <c r="B217" s="51"/>
      <c r="C217" s="576"/>
      <c r="D217" s="220"/>
      <c r="E217" s="103"/>
      <c r="F217" s="104"/>
      <c r="G217" s="104"/>
      <c r="H217" s="372"/>
      <c r="I217" s="186" t="s">
        <v>450</v>
      </c>
      <c r="J217" s="250">
        <v>50000</v>
      </c>
      <c r="K217" s="135" t="s">
        <v>422</v>
      </c>
      <c r="L217" s="49" t="s">
        <v>143</v>
      </c>
      <c r="M217" s="444">
        <f>J217*12/1000</f>
        <v>600</v>
      </c>
      <c r="N217" s="523"/>
      <c r="O217" s="415"/>
      <c r="P217" s="415"/>
      <c r="Q217" s="415">
        <v>600</v>
      </c>
      <c r="R217" s="415"/>
      <c r="S217" s="415"/>
      <c r="T217" s="416"/>
      <c r="U217" s="523"/>
      <c r="V217" s="483">
        <f t="shared" si="17"/>
        <v>600</v>
      </c>
    </row>
    <row r="218" spans="1:22" ht="26.25" customHeight="1">
      <c r="A218" s="56"/>
      <c r="B218" s="51"/>
      <c r="C218" s="576"/>
      <c r="D218" s="220"/>
      <c r="E218" s="103"/>
      <c r="F218" s="104"/>
      <c r="G218" s="104"/>
      <c r="H218" s="372"/>
      <c r="I218" s="186" t="s">
        <v>451</v>
      </c>
      <c r="J218" s="250">
        <v>350000</v>
      </c>
      <c r="K218" s="135" t="s">
        <v>422</v>
      </c>
      <c r="L218" s="49" t="s">
        <v>143</v>
      </c>
      <c r="M218" s="444">
        <f>J218*12/1000</f>
        <v>4200</v>
      </c>
      <c r="N218" s="523"/>
      <c r="O218" s="415"/>
      <c r="P218" s="415"/>
      <c r="Q218" s="415">
        <v>4200</v>
      </c>
      <c r="R218" s="415"/>
      <c r="S218" s="415"/>
      <c r="T218" s="416"/>
      <c r="U218" s="523"/>
      <c r="V218" s="483">
        <f t="shared" si="17"/>
        <v>4200</v>
      </c>
    </row>
    <row r="219" spans="1:22" ht="26.25" customHeight="1">
      <c r="A219" s="56"/>
      <c r="B219" s="51"/>
      <c r="C219" s="576"/>
      <c r="D219" s="221"/>
      <c r="E219" s="105"/>
      <c r="F219" s="106"/>
      <c r="G219" s="106"/>
      <c r="H219" s="376"/>
      <c r="I219" s="186" t="s">
        <v>453</v>
      </c>
      <c r="J219" s="250">
        <v>30000</v>
      </c>
      <c r="K219" s="135" t="s">
        <v>452</v>
      </c>
      <c r="L219" s="49" t="s">
        <v>143</v>
      </c>
      <c r="M219" s="444">
        <f>J219*1/1000</f>
        <v>30</v>
      </c>
      <c r="N219" s="523"/>
      <c r="O219" s="415"/>
      <c r="P219" s="415"/>
      <c r="Q219" s="415">
        <v>30</v>
      </c>
      <c r="R219" s="415"/>
      <c r="S219" s="415"/>
      <c r="T219" s="416"/>
      <c r="U219" s="523"/>
      <c r="V219" s="483">
        <f t="shared" si="17"/>
        <v>30</v>
      </c>
    </row>
    <row r="220" spans="1:22" ht="26.25" customHeight="1">
      <c r="A220" s="56"/>
      <c r="B220" s="51"/>
      <c r="C220" s="576"/>
      <c r="D220" s="222" t="s">
        <v>201</v>
      </c>
      <c r="E220" s="101">
        <f>M220</f>
        <v>7750</v>
      </c>
      <c r="F220" s="102">
        <v>7472</v>
      </c>
      <c r="G220" s="104">
        <f>E220-F220</f>
        <v>278</v>
      </c>
      <c r="H220" s="372">
        <f>G220/F220</f>
        <v>0.03720556745182013</v>
      </c>
      <c r="I220" s="238" t="s">
        <v>454</v>
      </c>
      <c r="J220" s="255"/>
      <c r="K220" s="140"/>
      <c r="L220" s="28"/>
      <c r="M220" s="537">
        <f>M221+M232+M236</f>
        <v>7750</v>
      </c>
      <c r="N220" s="523"/>
      <c r="O220" s="497">
        <f>SUM(O221:O245)</f>
        <v>0</v>
      </c>
      <c r="P220" s="497">
        <f>SUM(P221:P245)</f>
        <v>0</v>
      </c>
      <c r="Q220" s="497">
        <f>SUM(Q221:Q235)</f>
        <v>6680</v>
      </c>
      <c r="R220" s="497">
        <f>SUM(R221:R245)</f>
        <v>1070</v>
      </c>
      <c r="S220" s="497">
        <f>SUM(S221:S245)</f>
        <v>0</v>
      </c>
      <c r="T220" s="563">
        <f>SUM(T221:T245)</f>
        <v>0</v>
      </c>
      <c r="U220" s="523"/>
      <c r="V220" s="483">
        <f t="shared" si="17"/>
        <v>7750</v>
      </c>
    </row>
    <row r="221" spans="1:22" ht="26.25" customHeight="1">
      <c r="A221" s="56"/>
      <c r="B221" s="51"/>
      <c r="C221" s="576"/>
      <c r="D221" s="220" t="s">
        <v>155</v>
      </c>
      <c r="E221" s="103"/>
      <c r="F221" s="104"/>
      <c r="G221" s="104"/>
      <c r="H221" s="372"/>
      <c r="I221" s="239" t="s">
        <v>696</v>
      </c>
      <c r="J221" s="249"/>
      <c r="K221" s="134"/>
      <c r="L221" s="54"/>
      <c r="M221" s="534">
        <f>SUM(M222:M231)</f>
        <v>6110</v>
      </c>
      <c r="N221" s="523"/>
      <c r="O221" s="485"/>
      <c r="P221" s="485"/>
      <c r="Q221" s="485"/>
      <c r="R221" s="485"/>
      <c r="S221" s="485"/>
      <c r="T221" s="562"/>
      <c r="U221" s="523"/>
      <c r="V221" s="483">
        <f t="shared" si="17"/>
        <v>0</v>
      </c>
    </row>
    <row r="222" spans="1:22" ht="26.25" customHeight="1">
      <c r="A222" s="56"/>
      <c r="B222" s="51"/>
      <c r="C222" s="576"/>
      <c r="D222" s="220"/>
      <c r="E222" s="103"/>
      <c r="F222" s="104"/>
      <c r="G222" s="104"/>
      <c r="H222" s="372"/>
      <c r="I222" s="186" t="s">
        <v>455</v>
      </c>
      <c r="J222" s="250">
        <v>20000</v>
      </c>
      <c r="K222" s="135" t="s">
        <v>411</v>
      </c>
      <c r="L222" s="49" t="s">
        <v>143</v>
      </c>
      <c r="M222" s="444">
        <f>J222*12/1000</f>
        <v>240</v>
      </c>
      <c r="N222" s="523"/>
      <c r="O222" s="415"/>
      <c r="P222" s="415"/>
      <c r="Q222" s="415">
        <v>240</v>
      </c>
      <c r="R222" s="485"/>
      <c r="S222" s="485"/>
      <c r="T222" s="562"/>
      <c r="U222" s="523"/>
      <c r="V222" s="483">
        <f t="shared" si="17"/>
        <v>240</v>
      </c>
    </row>
    <row r="223" spans="1:22" ht="26.25" customHeight="1">
      <c r="A223" s="56"/>
      <c r="B223" s="51"/>
      <c r="C223" s="576"/>
      <c r="D223" s="220"/>
      <c r="E223" s="103"/>
      <c r="F223" s="104"/>
      <c r="G223" s="104"/>
      <c r="H223" s="372"/>
      <c r="I223" s="186" t="s">
        <v>456</v>
      </c>
      <c r="J223" s="250">
        <v>60000</v>
      </c>
      <c r="K223" s="135" t="s">
        <v>411</v>
      </c>
      <c r="L223" s="49" t="s">
        <v>143</v>
      </c>
      <c r="M223" s="444">
        <f>J223*12/1000</f>
        <v>720</v>
      </c>
      <c r="N223" s="523"/>
      <c r="O223" s="415"/>
      <c r="P223" s="415"/>
      <c r="Q223" s="415">
        <v>720</v>
      </c>
      <c r="R223" s="485"/>
      <c r="S223" s="485"/>
      <c r="T223" s="562"/>
      <c r="U223" s="523"/>
      <c r="V223" s="483">
        <f t="shared" si="17"/>
        <v>720</v>
      </c>
    </row>
    <row r="224" spans="1:22" ht="26.25" customHeight="1">
      <c r="A224" s="56"/>
      <c r="B224" s="51"/>
      <c r="C224" s="576"/>
      <c r="D224" s="220"/>
      <c r="E224" s="103"/>
      <c r="F224" s="104"/>
      <c r="G224" s="104"/>
      <c r="H224" s="372"/>
      <c r="I224" s="186" t="s">
        <v>457</v>
      </c>
      <c r="J224" s="250">
        <v>100000</v>
      </c>
      <c r="K224" s="135" t="s">
        <v>411</v>
      </c>
      <c r="L224" s="49" t="s">
        <v>143</v>
      </c>
      <c r="M224" s="444">
        <f>J224*12/1000</f>
        <v>1200</v>
      </c>
      <c r="N224" s="523"/>
      <c r="O224" s="415"/>
      <c r="P224" s="415"/>
      <c r="Q224" s="415">
        <v>1200</v>
      </c>
      <c r="R224" s="485"/>
      <c r="S224" s="485"/>
      <c r="T224" s="562"/>
      <c r="U224" s="523"/>
      <c r="V224" s="483">
        <f t="shared" si="17"/>
        <v>1200</v>
      </c>
    </row>
    <row r="225" spans="1:22" ht="26.25" customHeight="1">
      <c r="A225" s="56"/>
      <c r="B225" s="51"/>
      <c r="C225" s="576"/>
      <c r="D225" s="220"/>
      <c r="E225" s="103"/>
      <c r="F225" s="104"/>
      <c r="G225" s="104"/>
      <c r="H225" s="372"/>
      <c r="I225" s="186" t="s">
        <v>458</v>
      </c>
      <c r="J225" s="250">
        <v>200000</v>
      </c>
      <c r="K225" s="135" t="s">
        <v>465</v>
      </c>
      <c r="L225" s="49" t="s">
        <v>143</v>
      </c>
      <c r="M225" s="444">
        <f>J225*1/1000</f>
        <v>200</v>
      </c>
      <c r="N225" s="523"/>
      <c r="O225" s="415"/>
      <c r="P225" s="415"/>
      <c r="Q225" s="415">
        <v>200</v>
      </c>
      <c r="R225" s="485"/>
      <c r="S225" s="485"/>
      <c r="T225" s="562"/>
      <c r="U225" s="523"/>
      <c r="V225" s="483">
        <f t="shared" si="17"/>
        <v>200</v>
      </c>
    </row>
    <row r="226" spans="1:22" ht="26.25" customHeight="1">
      <c r="A226" s="56"/>
      <c r="B226" s="51"/>
      <c r="C226" s="576"/>
      <c r="D226" s="220"/>
      <c r="E226" s="103"/>
      <c r="F226" s="104"/>
      <c r="G226" s="104"/>
      <c r="H226" s="372"/>
      <c r="I226" s="186" t="s">
        <v>459</v>
      </c>
      <c r="J226" s="250">
        <v>100000</v>
      </c>
      <c r="K226" s="135" t="s">
        <v>466</v>
      </c>
      <c r="L226" s="49" t="s">
        <v>143</v>
      </c>
      <c r="M226" s="444">
        <f>J226*2/1000</f>
        <v>200</v>
      </c>
      <c r="N226" s="523"/>
      <c r="O226" s="415"/>
      <c r="P226" s="415"/>
      <c r="Q226" s="415">
        <v>200</v>
      </c>
      <c r="R226" s="485"/>
      <c r="S226" s="485"/>
      <c r="T226" s="562"/>
      <c r="U226" s="523"/>
      <c r="V226" s="483">
        <f t="shared" si="17"/>
        <v>200</v>
      </c>
    </row>
    <row r="227" spans="1:22" ht="26.25" customHeight="1">
      <c r="A227" s="56"/>
      <c r="B227" s="52"/>
      <c r="C227" s="577"/>
      <c r="D227" s="223"/>
      <c r="E227" s="109"/>
      <c r="F227" s="110"/>
      <c r="G227" s="110"/>
      <c r="H227" s="374"/>
      <c r="I227" s="193" t="s">
        <v>460</v>
      </c>
      <c r="J227" s="261">
        <v>150000</v>
      </c>
      <c r="K227" s="139" t="s">
        <v>411</v>
      </c>
      <c r="L227" s="50" t="s">
        <v>143</v>
      </c>
      <c r="M227" s="461">
        <f>J227*12/1000</f>
        <v>1800</v>
      </c>
      <c r="N227" s="524"/>
      <c r="O227" s="432"/>
      <c r="P227" s="432"/>
      <c r="Q227" s="432">
        <v>1800</v>
      </c>
      <c r="R227" s="571"/>
      <c r="S227" s="571"/>
      <c r="T227" s="572"/>
      <c r="U227" s="523"/>
      <c r="V227" s="483">
        <f t="shared" si="17"/>
        <v>1800</v>
      </c>
    </row>
    <row r="228" spans="1:22" ht="26.25" customHeight="1">
      <c r="A228" s="56"/>
      <c r="B228" s="57"/>
      <c r="C228" s="578"/>
      <c r="D228" s="303"/>
      <c r="E228" s="304"/>
      <c r="F228" s="305"/>
      <c r="G228" s="305"/>
      <c r="H228" s="375"/>
      <c r="I228" s="306" t="s">
        <v>461</v>
      </c>
      <c r="J228" s="307">
        <v>600000</v>
      </c>
      <c r="K228" s="309" t="s">
        <v>465</v>
      </c>
      <c r="L228" s="242" t="s">
        <v>143</v>
      </c>
      <c r="M228" s="514">
        <f>J228*1/1000</f>
        <v>600</v>
      </c>
      <c r="N228" s="566"/>
      <c r="O228" s="469"/>
      <c r="P228" s="469"/>
      <c r="Q228" s="469">
        <v>600</v>
      </c>
      <c r="R228" s="567"/>
      <c r="S228" s="567"/>
      <c r="T228" s="568"/>
      <c r="U228" s="523"/>
      <c r="V228" s="483">
        <f t="shared" si="17"/>
        <v>600</v>
      </c>
    </row>
    <row r="229" spans="1:22" ht="26.25" customHeight="1">
      <c r="A229" s="56"/>
      <c r="B229" s="51"/>
      <c r="C229" s="576"/>
      <c r="D229" s="220"/>
      <c r="E229" s="103"/>
      <c r="F229" s="104"/>
      <c r="G229" s="104"/>
      <c r="H229" s="372"/>
      <c r="I229" s="186" t="s">
        <v>462</v>
      </c>
      <c r="J229" s="250">
        <v>600000</v>
      </c>
      <c r="K229" s="135" t="s">
        <v>465</v>
      </c>
      <c r="L229" s="49" t="s">
        <v>143</v>
      </c>
      <c r="M229" s="444">
        <f>J229*1/1000</f>
        <v>600</v>
      </c>
      <c r="N229" s="523"/>
      <c r="O229" s="415"/>
      <c r="P229" s="415"/>
      <c r="Q229" s="415">
        <v>600</v>
      </c>
      <c r="R229" s="485"/>
      <c r="S229" s="485"/>
      <c r="T229" s="562"/>
      <c r="U229" s="523"/>
      <c r="V229" s="483">
        <f t="shared" si="17"/>
        <v>600</v>
      </c>
    </row>
    <row r="230" spans="1:22" ht="26.25" customHeight="1">
      <c r="A230" s="56"/>
      <c r="B230" s="51"/>
      <c r="C230" s="576"/>
      <c r="D230" s="220"/>
      <c r="E230" s="103"/>
      <c r="F230" s="104"/>
      <c r="G230" s="104"/>
      <c r="H230" s="372"/>
      <c r="I230" s="186" t="s">
        <v>463</v>
      </c>
      <c r="J230" s="250">
        <v>50000</v>
      </c>
      <c r="K230" s="135" t="s">
        <v>465</v>
      </c>
      <c r="L230" s="49" t="s">
        <v>143</v>
      </c>
      <c r="M230" s="444">
        <f>J230*1/1000</f>
        <v>50</v>
      </c>
      <c r="N230" s="523"/>
      <c r="O230" s="415"/>
      <c r="P230" s="415"/>
      <c r="Q230" s="415">
        <v>50</v>
      </c>
      <c r="R230" s="485"/>
      <c r="S230" s="485"/>
      <c r="T230" s="562"/>
      <c r="U230" s="523"/>
      <c r="V230" s="483">
        <f t="shared" si="17"/>
        <v>50</v>
      </c>
    </row>
    <row r="231" spans="1:22" ht="26.25" customHeight="1">
      <c r="A231" s="56"/>
      <c r="B231" s="51"/>
      <c r="C231" s="576"/>
      <c r="D231" s="220"/>
      <c r="E231" s="103"/>
      <c r="F231" s="104"/>
      <c r="G231" s="104"/>
      <c r="H231" s="372"/>
      <c r="I231" s="186" t="s">
        <v>464</v>
      </c>
      <c r="J231" s="250"/>
      <c r="K231" s="135"/>
      <c r="L231" s="49"/>
      <c r="M231" s="444">
        <f>500000/1000</f>
        <v>500</v>
      </c>
      <c r="N231" s="523"/>
      <c r="O231" s="415"/>
      <c r="P231" s="415"/>
      <c r="Q231" s="415">
        <v>500</v>
      </c>
      <c r="R231" s="485"/>
      <c r="S231" s="485"/>
      <c r="T231" s="562"/>
      <c r="U231" s="523"/>
      <c r="V231" s="483">
        <f t="shared" si="17"/>
        <v>500</v>
      </c>
    </row>
    <row r="232" spans="1:22" ht="26.25" customHeight="1">
      <c r="A232" s="56"/>
      <c r="B232" s="51"/>
      <c r="C232" s="576"/>
      <c r="D232" s="220"/>
      <c r="E232" s="103"/>
      <c r="F232" s="104"/>
      <c r="G232" s="104"/>
      <c r="H232" s="372"/>
      <c r="I232" s="239" t="s">
        <v>779</v>
      </c>
      <c r="J232" s="249"/>
      <c r="K232" s="134"/>
      <c r="L232" s="54"/>
      <c r="M232" s="534">
        <f>SUM(M233:M235)</f>
        <v>570</v>
      </c>
      <c r="N232" s="523"/>
      <c r="O232" s="415"/>
      <c r="P232" s="415"/>
      <c r="Q232" s="485"/>
      <c r="R232" s="485"/>
      <c r="S232" s="485"/>
      <c r="T232" s="562"/>
      <c r="U232" s="523"/>
      <c r="V232" s="483">
        <f t="shared" si="17"/>
        <v>0</v>
      </c>
    </row>
    <row r="233" spans="1:22" ht="26.25" customHeight="1">
      <c r="A233" s="56"/>
      <c r="B233" s="51"/>
      <c r="C233" s="576"/>
      <c r="D233" s="220"/>
      <c r="E233" s="103"/>
      <c r="F233" s="104"/>
      <c r="G233" s="104"/>
      <c r="H233" s="372"/>
      <c r="I233" s="186" t="s">
        <v>487</v>
      </c>
      <c r="J233" s="250">
        <v>400000</v>
      </c>
      <c r="K233" s="135" t="s">
        <v>452</v>
      </c>
      <c r="L233" s="49" t="s">
        <v>143</v>
      </c>
      <c r="M233" s="444">
        <f>J233*1/1000</f>
        <v>400</v>
      </c>
      <c r="N233" s="523"/>
      <c r="O233" s="415">
        <v>0</v>
      </c>
      <c r="P233" s="415">
        <v>0</v>
      </c>
      <c r="Q233" s="415">
        <v>400</v>
      </c>
      <c r="R233" s="485"/>
      <c r="S233" s="485"/>
      <c r="T233" s="562"/>
      <c r="U233" s="523"/>
      <c r="V233" s="483">
        <f t="shared" si="17"/>
        <v>400</v>
      </c>
    </row>
    <row r="234" spans="1:22" ht="26.25" customHeight="1">
      <c r="A234" s="56"/>
      <c r="B234" s="51"/>
      <c r="C234" s="576"/>
      <c r="D234" s="220"/>
      <c r="E234" s="103"/>
      <c r="F234" s="104"/>
      <c r="G234" s="104"/>
      <c r="H234" s="372"/>
      <c r="I234" s="186" t="s">
        <v>488</v>
      </c>
      <c r="J234" s="250">
        <v>70000</v>
      </c>
      <c r="K234" s="135" t="s">
        <v>465</v>
      </c>
      <c r="L234" s="49" t="s">
        <v>143</v>
      </c>
      <c r="M234" s="444">
        <f>J234*1/1000</f>
        <v>70</v>
      </c>
      <c r="N234" s="523"/>
      <c r="O234" s="415">
        <v>0</v>
      </c>
      <c r="P234" s="415">
        <v>0</v>
      </c>
      <c r="Q234" s="415">
        <v>70</v>
      </c>
      <c r="R234" s="485"/>
      <c r="S234" s="485"/>
      <c r="T234" s="562"/>
      <c r="U234" s="523"/>
      <c r="V234" s="483">
        <f t="shared" si="17"/>
        <v>70</v>
      </c>
    </row>
    <row r="235" spans="1:22" ht="26.25" customHeight="1">
      <c r="A235" s="56"/>
      <c r="B235" s="51"/>
      <c r="C235" s="576"/>
      <c r="D235" s="220"/>
      <c r="E235" s="103"/>
      <c r="F235" s="104"/>
      <c r="G235" s="104"/>
      <c r="H235" s="372"/>
      <c r="I235" s="186" t="s">
        <v>489</v>
      </c>
      <c r="J235" s="250">
        <v>50000</v>
      </c>
      <c r="K235" s="135" t="s">
        <v>466</v>
      </c>
      <c r="L235" s="49" t="s">
        <v>143</v>
      </c>
      <c r="M235" s="444">
        <f>J235*2/1000</f>
        <v>100</v>
      </c>
      <c r="N235" s="523"/>
      <c r="O235" s="415">
        <v>0</v>
      </c>
      <c r="P235" s="415">
        <v>0</v>
      </c>
      <c r="Q235" s="415">
        <v>100</v>
      </c>
      <c r="R235" s="485"/>
      <c r="S235" s="485"/>
      <c r="T235" s="562"/>
      <c r="U235" s="523"/>
      <c r="V235" s="483">
        <f t="shared" si="17"/>
        <v>100</v>
      </c>
    </row>
    <row r="236" spans="1:22" ht="26.25" customHeight="1">
      <c r="A236" s="56"/>
      <c r="B236" s="51"/>
      <c r="C236" s="576"/>
      <c r="D236" s="220"/>
      <c r="E236" s="103"/>
      <c r="F236" s="104"/>
      <c r="G236" s="104"/>
      <c r="H236" s="372"/>
      <c r="I236" s="239" t="s">
        <v>757</v>
      </c>
      <c r="J236" s="249"/>
      <c r="K236" s="134"/>
      <c r="L236" s="54"/>
      <c r="M236" s="536">
        <f>SUM(M237:M240)</f>
        <v>1070</v>
      </c>
      <c r="N236" s="523"/>
      <c r="O236" s="415"/>
      <c r="P236" s="415"/>
      <c r="Q236" s="485"/>
      <c r="R236" s="485"/>
      <c r="S236" s="485"/>
      <c r="T236" s="562"/>
      <c r="U236" s="523"/>
      <c r="V236" s="483">
        <f t="shared" si="17"/>
        <v>0</v>
      </c>
    </row>
    <row r="237" spans="1:22" ht="26.25" customHeight="1">
      <c r="A237" s="56"/>
      <c r="B237" s="51"/>
      <c r="C237" s="576"/>
      <c r="D237" s="220"/>
      <c r="E237" s="103"/>
      <c r="F237" s="104"/>
      <c r="G237" s="104"/>
      <c r="H237" s="372"/>
      <c r="I237" s="185" t="s">
        <v>532</v>
      </c>
      <c r="J237" s="249">
        <v>700000</v>
      </c>
      <c r="K237" s="134" t="s">
        <v>518</v>
      </c>
      <c r="L237" s="54" t="s">
        <v>143</v>
      </c>
      <c r="M237" s="538">
        <f>J237*1/1000</f>
        <v>700</v>
      </c>
      <c r="N237" s="523"/>
      <c r="O237" s="415"/>
      <c r="P237" s="415"/>
      <c r="Q237" s="485"/>
      <c r="R237" s="415">
        <v>700</v>
      </c>
      <c r="S237" s="485"/>
      <c r="T237" s="562"/>
      <c r="U237" s="523"/>
      <c r="V237" s="483">
        <f t="shared" si="17"/>
        <v>700</v>
      </c>
    </row>
    <row r="238" spans="1:22" ht="26.25" customHeight="1">
      <c r="A238" s="56"/>
      <c r="B238" s="51"/>
      <c r="C238" s="576"/>
      <c r="D238" s="220"/>
      <c r="E238" s="103"/>
      <c r="F238" s="104"/>
      <c r="G238" s="104"/>
      <c r="H238" s="372"/>
      <c r="I238" s="185" t="s">
        <v>533</v>
      </c>
      <c r="J238" s="249">
        <v>70000</v>
      </c>
      <c r="K238" s="134" t="s">
        <v>535</v>
      </c>
      <c r="L238" s="54" t="s">
        <v>143</v>
      </c>
      <c r="M238" s="538">
        <f>J238*2/1000</f>
        <v>140</v>
      </c>
      <c r="N238" s="523"/>
      <c r="O238" s="415"/>
      <c r="P238" s="415"/>
      <c r="Q238" s="485"/>
      <c r="R238" s="415">
        <v>140</v>
      </c>
      <c r="S238" s="485"/>
      <c r="T238" s="562"/>
      <c r="U238" s="523"/>
      <c r="V238" s="483">
        <f t="shared" si="17"/>
        <v>140</v>
      </c>
    </row>
    <row r="239" spans="1:22" ht="26.25" customHeight="1">
      <c r="A239" s="56"/>
      <c r="B239" s="51"/>
      <c r="C239" s="576"/>
      <c r="D239" s="220"/>
      <c r="E239" s="103"/>
      <c r="F239" s="104"/>
      <c r="G239" s="104"/>
      <c r="H239" s="372"/>
      <c r="I239" s="237" t="s">
        <v>488</v>
      </c>
      <c r="J239" s="258">
        <v>60000</v>
      </c>
      <c r="K239" s="140" t="s">
        <v>518</v>
      </c>
      <c r="L239" s="28" t="s">
        <v>143</v>
      </c>
      <c r="M239" s="535">
        <f>J239*1/1000</f>
        <v>60</v>
      </c>
      <c r="N239" s="523"/>
      <c r="O239" s="415"/>
      <c r="P239" s="415"/>
      <c r="Q239" s="485"/>
      <c r="R239" s="415">
        <v>60</v>
      </c>
      <c r="S239" s="485"/>
      <c r="T239" s="562"/>
      <c r="U239" s="523"/>
      <c r="V239" s="483">
        <f t="shared" si="17"/>
        <v>60</v>
      </c>
    </row>
    <row r="240" spans="1:22" ht="26.25" customHeight="1">
      <c r="A240" s="56"/>
      <c r="B240" s="51"/>
      <c r="C240" s="576"/>
      <c r="D240" s="220"/>
      <c r="E240" s="103"/>
      <c r="F240" s="104"/>
      <c r="G240" s="106"/>
      <c r="H240" s="376"/>
      <c r="I240" s="185" t="s">
        <v>534</v>
      </c>
      <c r="J240" s="249">
        <v>170000</v>
      </c>
      <c r="K240" s="134" t="s">
        <v>452</v>
      </c>
      <c r="L240" s="54" t="s">
        <v>143</v>
      </c>
      <c r="M240" s="534">
        <f>J240*1/1000</f>
        <v>170</v>
      </c>
      <c r="N240" s="523"/>
      <c r="O240" s="415"/>
      <c r="P240" s="415"/>
      <c r="Q240" s="485"/>
      <c r="R240" s="415">
        <v>170</v>
      </c>
      <c r="S240" s="485"/>
      <c r="T240" s="562"/>
      <c r="U240" s="523"/>
      <c r="V240" s="483">
        <f t="shared" si="17"/>
        <v>170</v>
      </c>
    </row>
    <row r="241" spans="1:22" ht="26.25" customHeight="1">
      <c r="A241" s="56"/>
      <c r="B241" s="51"/>
      <c r="C241" s="576"/>
      <c r="D241" s="222" t="s">
        <v>202</v>
      </c>
      <c r="E241" s="101">
        <f>M243</f>
        <v>1950</v>
      </c>
      <c r="F241" s="102">
        <v>1850</v>
      </c>
      <c r="G241" s="104">
        <f>E241-F241</f>
        <v>100</v>
      </c>
      <c r="H241" s="372">
        <f>G241/F241</f>
        <v>0.05405405405405406</v>
      </c>
      <c r="I241" s="187"/>
      <c r="J241" s="251"/>
      <c r="K241" s="136"/>
      <c r="L241" s="55"/>
      <c r="M241" s="442"/>
      <c r="N241" s="523"/>
      <c r="O241" s="485"/>
      <c r="P241" s="485"/>
      <c r="Q241" s="485"/>
      <c r="R241" s="485"/>
      <c r="S241" s="485"/>
      <c r="T241" s="562"/>
      <c r="U241" s="523"/>
      <c r="V241" s="483">
        <f t="shared" si="17"/>
        <v>0</v>
      </c>
    </row>
    <row r="242" spans="1:22" ht="26.25" customHeight="1">
      <c r="A242" s="56"/>
      <c r="B242" s="51"/>
      <c r="C242" s="576"/>
      <c r="D242" s="220" t="s">
        <v>156</v>
      </c>
      <c r="E242" s="103"/>
      <c r="F242" s="104"/>
      <c r="G242" s="104"/>
      <c r="H242" s="372"/>
      <c r="I242" s="238"/>
      <c r="J242" s="258"/>
      <c r="K242" s="140"/>
      <c r="L242" s="28"/>
      <c r="M242" s="447"/>
      <c r="N242" s="523"/>
      <c r="O242" s="485"/>
      <c r="P242" s="485"/>
      <c r="Q242" s="485"/>
      <c r="R242" s="485"/>
      <c r="S242" s="485"/>
      <c r="T242" s="562"/>
      <c r="U242" s="523"/>
      <c r="V242" s="483">
        <f t="shared" si="17"/>
        <v>0</v>
      </c>
    </row>
    <row r="243" spans="1:22" ht="26.25" customHeight="1">
      <c r="A243" s="56"/>
      <c r="B243" s="52"/>
      <c r="C243" s="577"/>
      <c r="D243" s="223"/>
      <c r="E243" s="109"/>
      <c r="F243" s="110"/>
      <c r="G243" s="110"/>
      <c r="H243" s="374"/>
      <c r="I243" s="544" t="s">
        <v>779</v>
      </c>
      <c r="J243" s="545"/>
      <c r="K243" s="546"/>
      <c r="L243" s="308"/>
      <c r="M243" s="643">
        <f>SUM(M244:M245)</f>
        <v>1950</v>
      </c>
      <c r="N243" s="524"/>
      <c r="O243" s="639">
        <f aca="true" t="shared" si="20" ref="O243:T243">SUM(O244:O245)</f>
        <v>0</v>
      </c>
      <c r="P243" s="639">
        <f t="shared" si="20"/>
        <v>0</v>
      </c>
      <c r="Q243" s="639">
        <f t="shared" si="20"/>
        <v>1950</v>
      </c>
      <c r="R243" s="639">
        <f t="shared" si="20"/>
        <v>0</v>
      </c>
      <c r="S243" s="639">
        <f t="shared" si="20"/>
        <v>0</v>
      </c>
      <c r="T243" s="644">
        <f t="shared" si="20"/>
        <v>0</v>
      </c>
      <c r="U243" s="523"/>
      <c r="V243" s="483">
        <f t="shared" si="17"/>
        <v>1950</v>
      </c>
    </row>
    <row r="244" spans="1:22" ht="26.25" customHeight="1">
      <c r="A244" s="56"/>
      <c r="B244" s="57"/>
      <c r="C244" s="578"/>
      <c r="D244" s="303"/>
      <c r="E244" s="304"/>
      <c r="F244" s="305"/>
      <c r="G244" s="305"/>
      <c r="H244" s="375"/>
      <c r="I244" s="184" t="s">
        <v>490</v>
      </c>
      <c r="J244" s="248">
        <v>100000</v>
      </c>
      <c r="K244" s="133" t="s">
        <v>411</v>
      </c>
      <c r="L244" s="61" t="s">
        <v>143</v>
      </c>
      <c r="M244" s="446">
        <f>J244*12/1000</f>
        <v>1200</v>
      </c>
      <c r="N244" s="566"/>
      <c r="O244" s="469">
        <v>0</v>
      </c>
      <c r="P244" s="469">
        <v>0</v>
      </c>
      <c r="Q244" s="469">
        <v>1200</v>
      </c>
      <c r="R244" s="567"/>
      <c r="S244" s="567"/>
      <c r="T244" s="568"/>
      <c r="U244" s="523"/>
      <c r="V244" s="483">
        <f t="shared" si="17"/>
        <v>1200</v>
      </c>
    </row>
    <row r="245" spans="1:22" ht="26.25" customHeight="1">
      <c r="A245" s="56"/>
      <c r="B245" s="51"/>
      <c r="C245" s="576"/>
      <c r="D245" s="220"/>
      <c r="E245" s="103"/>
      <c r="F245" s="104"/>
      <c r="G245" s="106"/>
      <c r="H245" s="376"/>
      <c r="I245" s="185" t="s">
        <v>491</v>
      </c>
      <c r="J245" s="249">
        <v>125000</v>
      </c>
      <c r="K245" s="134" t="s">
        <v>384</v>
      </c>
      <c r="L245" s="54" t="s">
        <v>143</v>
      </c>
      <c r="M245" s="443">
        <f>J245*6/1000</f>
        <v>750</v>
      </c>
      <c r="N245" s="523"/>
      <c r="O245" s="415">
        <v>0</v>
      </c>
      <c r="P245" s="415">
        <v>0</v>
      </c>
      <c r="Q245" s="415">
        <v>750</v>
      </c>
      <c r="R245" s="485"/>
      <c r="S245" s="485"/>
      <c r="T245" s="562"/>
      <c r="U245" s="523"/>
      <c r="V245" s="483">
        <f t="shared" si="17"/>
        <v>750</v>
      </c>
    </row>
    <row r="246" spans="1:22" ht="26.25" customHeight="1">
      <c r="A246" s="56"/>
      <c r="B246" s="51"/>
      <c r="C246" s="576"/>
      <c r="D246" s="222" t="s">
        <v>203</v>
      </c>
      <c r="E246" s="101">
        <f>M246</f>
        <v>4800</v>
      </c>
      <c r="F246" s="102">
        <v>3750</v>
      </c>
      <c r="G246" s="104">
        <f>E246-F246</f>
        <v>1050</v>
      </c>
      <c r="H246" s="372">
        <f>G246/F246</f>
        <v>0.28</v>
      </c>
      <c r="I246" s="279" t="s">
        <v>778</v>
      </c>
      <c r="J246" s="251"/>
      <c r="K246" s="136"/>
      <c r="L246" s="55"/>
      <c r="M246" s="531">
        <f>M248+M250</f>
        <v>4800</v>
      </c>
      <c r="N246" s="523"/>
      <c r="O246" s="497">
        <f aca="true" t="shared" si="21" ref="O246:T246">SUM(O247:O250)</f>
        <v>1275</v>
      </c>
      <c r="P246" s="497">
        <f t="shared" si="21"/>
        <v>1275</v>
      </c>
      <c r="Q246" s="497">
        <f t="shared" si="21"/>
        <v>1594</v>
      </c>
      <c r="R246" s="497">
        <f t="shared" si="21"/>
        <v>656</v>
      </c>
      <c r="S246" s="497">
        <f t="shared" si="21"/>
        <v>0</v>
      </c>
      <c r="T246" s="563">
        <f t="shared" si="21"/>
        <v>0</v>
      </c>
      <c r="U246" s="523"/>
      <c r="V246" s="483">
        <f t="shared" si="17"/>
        <v>4800</v>
      </c>
    </row>
    <row r="247" spans="1:22" ht="26.25" customHeight="1">
      <c r="A247" s="56"/>
      <c r="B247" s="51"/>
      <c r="C247" s="576"/>
      <c r="D247" s="220" t="s">
        <v>157</v>
      </c>
      <c r="E247" s="103"/>
      <c r="F247" s="104"/>
      <c r="G247" s="104"/>
      <c r="H247" s="372"/>
      <c r="I247" s="238" t="s">
        <v>696</v>
      </c>
      <c r="J247" s="258"/>
      <c r="K247" s="140"/>
      <c r="L247" s="28"/>
      <c r="M247" s="447"/>
      <c r="N247" s="523"/>
      <c r="O247" s="485"/>
      <c r="P247" s="485"/>
      <c r="Q247" s="485"/>
      <c r="R247" s="485"/>
      <c r="S247" s="485"/>
      <c r="T247" s="562"/>
      <c r="U247" s="523"/>
      <c r="V247" s="483">
        <f t="shared" si="17"/>
        <v>0</v>
      </c>
    </row>
    <row r="248" spans="1:22" ht="26.25" customHeight="1">
      <c r="A248" s="56"/>
      <c r="B248" s="51"/>
      <c r="C248" s="576"/>
      <c r="D248" s="220"/>
      <c r="E248" s="103"/>
      <c r="F248" s="104"/>
      <c r="G248" s="104"/>
      <c r="H248" s="372"/>
      <c r="I248" s="185" t="s">
        <v>468</v>
      </c>
      <c r="J248" s="249">
        <v>380000</v>
      </c>
      <c r="K248" s="134" t="s">
        <v>602</v>
      </c>
      <c r="L248" s="54" t="s">
        <v>143</v>
      </c>
      <c r="M248" s="536">
        <f>J248*10/1000</f>
        <v>3800</v>
      </c>
      <c r="N248" s="523"/>
      <c r="O248" s="415">
        <v>1275</v>
      </c>
      <c r="P248" s="415">
        <v>1275</v>
      </c>
      <c r="Q248" s="415">
        <v>594</v>
      </c>
      <c r="R248" s="415">
        <v>656</v>
      </c>
      <c r="S248" s="485"/>
      <c r="T248" s="562"/>
      <c r="U248" s="523"/>
      <c r="V248" s="483">
        <f t="shared" si="17"/>
        <v>3800</v>
      </c>
    </row>
    <row r="249" spans="1:22" ht="26.25" customHeight="1">
      <c r="A249" s="56"/>
      <c r="B249" s="51"/>
      <c r="C249" s="576"/>
      <c r="D249" s="220"/>
      <c r="E249" s="103"/>
      <c r="F249" s="104"/>
      <c r="G249" s="104"/>
      <c r="H249" s="372"/>
      <c r="I249" s="279" t="s">
        <v>382</v>
      </c>
      <c r="J249" s="251"/>
      <c r="K249" s="136"/>
      <c r="L249" s="55"/>
      <c r="M249" s="442"/>
      <c r="N249" s="523"/>
      <c r="O249" s="485"/>
      <c r="P249" s="485"/>
      <c r="Q249" s="485"/>
      <c r="R249" s="485"/>
      <c r="S249" s="485"/>
      <c r="T249" s="562"/>
      <c r="U249" s="523"/>
      <c r="V249" s="483">
        <f t="shared" si="17"/>
        <v>0</v>
      </c>
    </row>
    <row r="250" spans="1:22" ht="26.25" customHeight="1">
      <c r="A250" s="56"/>
      <c r="B250" s="51"/>
      <c r="C250" s="576"/>
      <c r="D250" s="220"/>
      <c r="E250" s="103"/>
      <c r="F250" s="104"/>
      <c r="G250" s="110"/>
      <c r="H250" s="374"/>
      <c r="I250" s="185" t="s">
        <v>468</v>
      </c>
      <c r="J250" s="249">
        <v>100000</v>
      </c>
      <c r="K250" s="134" t="s">
        <v>499</v>
      </c>
      <c r="L250" s="54" t="s">
        <v>143</v>
      </c>
      <c r="M250" s="536">
        <f>J250*10/1000</f>
        <v>1000</v>
      </c>
      <c r="N250" s="524"/>
      <c r="O250" s="432">
        <v>0</v>
      </c>
      <c r="P250" s="432">
        <v>0</v>
      </c>
      <c r="Q250" s="432">
        <v>1000</v>
      </c>
      <c r="R250" s="432">
        <v>0</v>
      </c>
      <c r="S250" s="432">
        <v>0</v>
      </c>
      <c r="T250" s="433">
        <v>0</v>
      </c>
      <c r="U250" s="523"/>
      <c r="V250" s="483">
        <f t="shared" si="17"/>
        <v>1000</v>
      </c>
    </row>
    <row r="251" spans="2:22" ht="26.25" customHeight="1">
      <c r="B251" s="682" t="s">
        <v>213</v>
      </c>
      <c r="C251" s="683"/>
      <c r="D251" s="684"/>
      <c r="E251" s="107">
        <f>E252</f>
        <v>12400</v>
      </c>
      <c r="F251" s="107">
        <f>F252</f>
        <v>37900</v>
      </c>
      <c r="G251" s="317">
        <f>E251-F251</f>
        <v>-25500</v>
      </c>
      <c r="H251" s="318">
        <f>G251/F251</f>
        <v>-0.6728232189973615</v>
      </c>
      <c r="I251" s="191"/>
      <c r="J251" s="259"/>
      <c r="K251" s="138"/>
      <c r="L251" s="58"/>
      <c r="M251" s="445">
        <f>M252</f>
        <v>12400</v>
      </c>
      <c r="N251" s="525">
        <f aca="true" t="shared" si="22" ref="N251:T251">N252+N297+N308</f>
        <v>0</v>
      </c>
      <c r="O251" s="437">
        <f t="shared" si="22"/>
        <v>0</v>
      </c>
      <c r="P251" s="437">
        <f t="shared" si="22"/>
        <v>0</v>
      </c>
      <c r="Q251" s="437">
        <f t="shared" si="22"/>
        <v>0</v>
      </c>
      <c r="R251" s="437">
        <f t="shared" si="22"/>
        <v>0</v>
      </c>
      <c r="S251" s="437">
        <f t="shared" si="22"/>
        <v>12400</v>
      </c>
      <c r="T251" s="466">
        <f t="shared" si="22"/>
        <v>0</v>
      </c>
      <c r="U251" s="523"/>
      <c r="V251" s="483">
        <f t="shared" si="17"/>
        <v>12400</v>
      </c>
    </row>
    <row r="252" spans="2:22" ht="26.25" customHeight="1">
      <c r="B252" s="516"/>
      <c r="C252" s="705" t="s">
        <v>214</v>
      </c>
      <c r="D252" s="689"/>
      <c r="E252" s="99">
        <f>E253+E256+E260</f>
        <v>12400</v>
      </c>
      <c r="F252" s="99">
        <f>F253+F256+F260</f>
        <v>37900</v>
      </c>
      <c r="G252" s="315">
        <f>E252-F252</f>
        <v>-25500</v>
      </c>
      <c r="H252" s="368">
        <f>G252/F252</f>
        <v>-0.6728232189973615</v>
      </c>
      <c r="I252" s="183"/>
      <c r="J252" s="247"/>
      <c r="K252" s="132"/>
      <c r="L252" s="62"/>
      <c r="M252" s="441">
        <f>M254+M257+M261</f>
        <v>12400</v>
      </c>
      <c r="N252" s="520">
        <f>SUM(N254+N259+N263+N267+N272+N275+N285+N288+N294)</f>
        <v>0</v>
      </c>
      <c r="O252" s="399">
        <f aca="true" t="shared" si="23" ref="O252:T252">SUM(O255,O258,O259,O262)</f>
        <v>0</v>
      </c>
      <c r="P252" s="399">
        <f t="shared" si="23"/>
        <v>0</v>
      </c>
      <c r="Q252" s="399">
        <f t="shared" si="23"/>
        <v>0</v>
      </c>
      <c r="R252" s="399">
        <f t="shared" si="23"/>
        <v>0</v>
      </c>
      <c r="S252" s="399">
        <f t="shared" si="23"/>
        <v>12400</v>
      </c>
      <c r="T252" s="400">
        <f t="shared" si="23"/>
        <v>0</v>
      </c>
      <c r="U252" s="523"/>
      <c r="V252" s="483">
        <f t="shared" si="17"/>
        <v>12400</v>
      </c>
    </row>
    <row r="253" spans="2:22" ht="26.25" customHeight="1">
      <c r="B253" s="57"/>
      <c r="C253" s="578"/>
      <c r="D253" s="276" t="s">
        <v>204</v>
      </c>
      <c r="E253" s="304">
        <f>M254</f>
        <v>3600</v>
      </c>
      <c r="F253" s="305">
        <v>19900</v>
      </c>
      <c r="G253" s="581">
        <f>E253-F253</f>
        <v>-16300</v>
      </c>
      <c r="H253" s="582">
        <f>G253/F253</f>
        <v>-0.8190954773869347</v>
      </c>
      <c r="I253" s="240"/>
      <c r="J253" s="257"/>
      <c r="K253" s="133"/>
      <c r="L253" s="61"/>
      <c r="M253" s="446"/>
      <c r="N253" s="566"/>
      <c r="O253" s="567"/>
      <c r="P253" s="567"/>
      <c r="Q253" s="567"/>
      <c r="R253" s="567"/>
      <c r="S253" s="567"/>
      <c r="T253" s="568"/>
      <c r="U253" s="523"/>
      <c r="V253" s="483">
        <f t="shared" si="17"/>
        <v>0</v>
      </c>
    </row>
    <row r="254" spans="2:22" ht="26.25" customHeight="1">
      <c r="B254" s="51"/>
      <c r="C254" s="576"/>
      <c r="D254" s="220" t="s">
        <v>158</v>
      </c>
      <c r="E254" s="103"/>
      <c r="F254" s="104"/>
      <c r="G254" s="104"/>
      <c r="H254" s="372"/>
      <c r="I254" s="238" t="s">
        <v>696</v>
      </c>
      <c r="J254" s="258"/>
      <c r="K254" s="140"/>
      <c r="L254" s="28"/>
      <c r="M254" s="533">
        <f>SUM(M255)</f>
        <v>3600</v>
      </c>
      <c r="N254" s="523"/>
      <c r="O254" s="485"/>
      <c r="P254" s="485"/>
      <c r="Q254" s="485"/>
      <c r="R254" s="485"/>
      <c r="S254" s="485"/>
      <c r="T254" s="562"/>
      <c r="U254" s="523"/>
      <c r="V254" s="483">
        <f t="shared" si="17"/>
        <v>0</v>
      </c>
    </row>
    <row r="255" spans="2:22" ht="26.25" customHeight="1">
      <c r="B255" s="51"/>
      <c r="C255" s="576"/>
      <c r="D255" s="221"/>
      <c r="E255" s="105"/>
      <c r="F255" s="106"/>
      <c r="G255" s="106"/>
      <c r="H255" s="376"/>
      <c r="I255" s="185" t="s">
        <v>470</v>
      </c>
      <c r="J255" s="249">
        <v>300000</v>
      </c>
      <c r="K255" s="134" t="s">
        <v>411</v>
      </c>
      <c r="L255" s="54" t="s">
        <v>143</v>
      </c>
      <c r="M255" s="443">
        <f>J255*12/1000</f>
        <v>3600</v>
      </c>
      <c r="N255" s="523"/>
      <c r="O255" s="415">
        <v>0</v>
      </c>
      <c r="P255" s="415">
        <v>0</v>
      </c>
      <c r="Q255" s="415">
        <v>0</v>
      </c>
      <c r="R255" s="415">
        <v>0</v>
      </c>
      <c r="S255" s="415">
        <v>3600</v>
      </c>
      <c r="T255" s="416">
        <v>0</v>
      </c>
      <c r="U255" s="523"/>
      <c r="V255" s="483">
        <f t="shared" si="17"/>
        <v>3600</v>
      </c>
    </row>
    <row r="256" spans="2:22" ht="26.25" customHeight="1">
      <c r="B256" s="51"/>
      <c r="C256" s="576"/>
      <c r="D256" s="222" t="s">
        <v>175</v>
      </c>
      <c r="E256" s="101">
        <f>M257</f>
        <v>7000</v>
      </c>
      <c r="F256" s="102">
        <v>16550</v>
      </c>
      <c r="G256" s="313">
        <f>E256-F256</f>
        <v>-9550</v>
      </c>
      <c r="H256" s="314">
        <f>G256/F256</f>
        <v>-0.5770392749244713</v>
      </c>
      <c r="I256" s="187"/>
      <c r="J256" s="251"/>
      <c r="K256" s="136"/>
      <c r="L256" s="55"/>
      <c r="M256" s="442"/>
      <c r="N256" s="523"/>
      <c r="O256" s="485"/>
      <c r="P256" s="485"/>
      <c r="Q256" s="485"/>
      <c r="R256" s="485"/>
      <c r="S256" s="485"/>
      <c r="T256" s="562"/>
      <c r="U256" s="523"/>
      <c r="V256" s="483">
        <f t="shared" si="17"/>
        <v>0</v>
      </c>
    </row>
    <row r="257" spans="2:22" ht="26.25" customHeight="1">
      <c r="B257" s="51"/>
      <c r="C257" s="576"/>
      <c r="D257" s="220" t="s">
        <v>159</v>
      </c>
      <c r="E257" s="103"/>
      <c r="F257" s="104"/>
      <c r="G257" s="104"/>
      <c r="H257" s="372"/>
      <c r="I257" s="238" t="s">
        <v>696</v>
      </c>
      <c r="J257" s="255"/>
      <c r="K257" s="140"/>
      <c r="L257" s="28"/>
      <c r="M257" s="533">
        <f>SUM(M258:M259)</f>
        <v>7000</v>
      </c>
      <c r="N257" s="523"/>
      <c r="O257" s="485"/>
      <c r="P257" s="485"/>
      <c r="Q257" s="485"/>
      <c r="R257" s="485"/>
      <c r="S257" s="485"/>
      <c r="T257" s="562"/>
      <c r="U257" s="523"/>
      <c r="V257" s="483">
        <f t="shared" si="17"/>
        <v>0</v>
      </c>
    </row>
    <row r="258" spans="2:22" ht="26.25" customHeight="1">
      <c r="B258" s="51"/>
      <c r="C258" s="576"/>
      <c r="D258" s="225"/>
      <c r="E258" s="103"/>
      <c r="F258" s="104"/>
      <c r="G258" s="104"/>
      <c r="H258" s="372"/>
      <c r="I258" s="185" t="s">
        <v>474</v>
      </c>
      <c r="J258" s="256"/>
      <c r="K258" s="134"/>
      <c r="L258" s="54"/>
      <c r="M258" s="443">
        <f>4000000/1000</f>
        <v>4000</v>
      </c>
      <c r="N258" s="523"/>
      <c r="O258" s="415">
        <v>0</v>
      </c>
      <c r="P258" s="415">
        <v>0</v>
      </c>
      <c r="Q258" s="415">
        <v>0</v>
      </c>
      <c r="R258" s="415">
        <v>0</v>
      </c>
      <c r="S258" s="415">
        <v>4000</v>
      </c>
      <c r="T258" s="416">
        <v>0</v>
      </c>
      <c r="U258" s="523"/>
      <c r="V258" s="483">
        <f t="shared" si="17"/>
        <v>4000</v>
      </c>
    </row>
    <row r="259" spans="2:22" ht="26.25" customHeight="1">
      <c r="B259" s="52"/>
      <c r="C259" s="577"/>
      <c r="D259" s="552"/>
      <c r="E259" s="109"/>
      <c r="F259" s="110"/>
      <c r="G259" s="110"/>
      <c r="H259" s="374"/>
      <c r="I259" s="580" t="s">
        <v>473</v>
      </c>
      <c r="J259" s="545"/>
      <c r="K259" s="546"/>
      <c r="L259" s="308"/>
      <c r="M259" s="448">
        <f>3000000/1000</f>
        <v>3000</v>
      </c>
      <c r="N259" s="524"/>
      <c r="O259" s="432">
        <v>0</v>
      </c>
      <c r="P259" s="432">
        <v>0</v>
      </c>
      <c r="Q259" s="432">
        <v>0</v>
      </c>
      <c r="R259" s="432">
        <v>0</v>
      </c>
      <c r="S259" s="432">
        <v>3000</v>
      </c>
      <c r="T259" s="433">
        <v>0</v>
      </c>
      <c r="U259" s="523"/>
      <c r="V259" s="483">
        <f t="shared" si="17"/>
        <v>3000</v>
      </c>
    </row>
    <row r="260" spans="2:22" ht="26.25" customHeight="1">
      <c r="B260" s="57"/>
      <c r="C260" s="578"/>
      <c r="D260" s="276" t="s">
        <v>205</v>
      </c>
      <c r="E260" s="304">
        <f>M261</f>
        <v>1800</v>
      </c>
      <c r="F260" s="305">
        <v>1450</v>
      </c>
      <c r="G260" s="305">
        <f>E260-F260</f>
        <v>350</v>
      </c>
      <c r="H260" s="375">
        <f>G260/F260</f>
        <v>0.2413793103448276</v>
      </c>
      <c r="I260" s="240" t="s">
        <v>696</v>
      </c>
      <c r="J260" s="257"/>
      <c r="K260" s="133"/>
      <c r="L260" s="61"/>
      <c r="M260" s="446"/>
      <c r="N260" s="566"/>
      <c r="O260" s="567"/>
      <c r="P260" s="567"/>
      <c r="Q260" s="567"/>
      <c r="R260" s="567"/>
      <c r="S260" s="567"/>
      <c r="T260" s="568"/>
      <c r="U260" s="523"/>
      <c r="V260" s="483">
        <f t="shared" si="17"/>
        <v>0</v>
      </c>
    </row>
    <row r="261" spans="2:22" ht="26.25" customHeight="1">
      <c r="B261" s="51"/>
      <c r="C261" s="576"/>
      <c r="D261" s="220" t="s">
        <v>160</v>
      </c>
      <c r="E261" s="103"/>
      <c r="F261" s="104"/>
      <c r="G261" s="104"/>
      <c r="H261" s="372"/>
      <c r="I261" s="239" t="s">
        <v>475</v>
      </c>
      <c r="J261" s="249"/>
      <c r="K261" s="134"/>
      <c r="L261" s="54"/>
      <c r="M261" s="539">
        <f>SUM(M262)</f>
        <v>1800</v>
      </c>
      <c r="N261" s="523"/>
      <c r="O261" s="485"/>
      <c r="P261" s="485"/>
      <c r="Q261" s="485"/>
      <c r="R261" s="485"/>
      <c r="S261" s="485"/>
      <c r="T261" s="562"/>
      <c r="U261" s="523"/>
      <c r="V261" s="483">
        <f t="shared" si="17"/>
        <v>0</v>
      </c>
    </row>
    <row r="262" spans="2:22" ht="26.25" customHeight="1">
      <c r="B262" s="52"/>
      <c r="C262" s="577"/>
      <c r="D262" s="223"/>
      <c r="E262" s="103"/>
      <c r="F262" s="104"/>
      <c r="G262" s="110"/>
      <c r="H262" s="374"/>
      <c r="I262" s="187" t="s">
        <v>476</v>
      </c>
      <c r="J262" s="251">
        <v>150000</v>
      </c>
      <c r="K262" s="136" t="s">
        <v>411</v>
      </c>
      <c r="L262" s="55" t="s">
        <v>143</v>
      </c>
      <c r="M262" s="442">
        <f>J262*12/1000</f>
        <v>1800</v>
      </c>
      <c r="N262" s="524"/>
      <c r="O262" s="432">
        <v>0</v>
      </c>
      <c r="P262" s="432">
        <v>0</v>
      </c>
      <c r="Q262" s="432">
        <v>0</v>
      </c>
      <c r="R262" s="432">
        <v>0</v>
      </c>
      <c r="S262" s="432">
        <v>1800</v>
      </c>
      <c r="T262" s="433">
        <v>0</v>
      </c>
      <c r="U262" s="523"/>
      <c r="V262" s="483">
        <f t="shared" si="17"/>
        <v>1800</v>
      </c>
    </row>
    <row r="263" spans="2:22" ht="26.25" customHeight="1">
      <c r="B263" s="682" t="s">
        <v>215</v>
      </c>
      <c r="C263" s="683"/>
      <c r="D263" s="684"/>
      <c r="E263" s="107">
        <f>E264+E268</f>
        <v>213525</v>
      </c>
      <c r="F263" s="107">
        <f>F264+F268</f>
        <v>246770</v>
      </c>
      <c r="G263" s="317">
        <f>E263-F263</f>
        <v>-33245</v>
      </c>
      <c r="H263" s="318">
        <f>G263/F263</f>
        <v>-0.13472059002309844</v>
      </c>
      <c r="I263" s="191"/>
      <c r="J263" s="259"/>
      <c r="K263" s="138"/>
      <c r="L263" s="58"/>
      <c r="M263" s="445">
        <f aca="true" t="shared" si="24" ref="M263:T263">M264+M268</f>
        <v>213525</v>
      </c>
      <c r="N263" s="526">
        <f t="shared" si="24"/>
        <v>0</v>
      </c>
      <c r="O263" s="428">
        <f t="shared" si="24"/>
        <v>49307</v>
      </c>
      <c r="P263" s="428">
        <f t="shared" si="24"/>
        <v>45306</v>
      </c>
      <c r="Q263" s="428">
        <f t="shared" si="24"/>
        <v>99760</v>
      </c>
      <c r="R263" s="428">
        <f t="shared" si="24"/>
        <v>1234</v>
      </c>
      <c r="S263" s="428">
        <f t="shared" si="24"/>
        <v>17918</v>
      </c>
      <c r="T263" s="429">
        <f t="shared" si="24"/>
        <v>0</v>
      </c>
      <c r="U263" s="523"/>
      <c r="V263" s="483">
        <f aca="true" t="shared" si="25" ref="V263:V326">SUM(N263:T263)</f>
        <v>213525</v>
      </c>
    </row>
    <row r="264" spans="1:22" ht="26.25" customHeight="1">
      <c r="A264" s="56"/>
      <c r="B264" s="51"/>
      <c r="C264" s="705" t="s">
        <v>869</v>
      </c>
      <c r="D264" s="689"/>
      <c r="E264" s="99">
        <f>E265</f>
        <v>4000</v>
      </c>
      <c r="F264" s="99">
        <f>F265</f>
        <v>2000</v>
      </c>
      <c r="G264" s="315">
        <f>E264-F264</f>
        <v>2000</v>
      </c>
      <c r="H264" s="368">
        <f>G264/F264</f>
        <v>1</v>
      </c>
      <c r="I264" s="183"/>
      <c r="J264" s="247"/>
      <c r="K264" s="132"/>
      <c r="L264" s="62"/>
      <c r="M264" s="441">
        <f>M266</f>
        <v>4000</v>
      </c>
      <c r="N264" s="520">
        <f aca="true" t="shared" si="26" ref="N264:T264">SUM(N266)</f>
        <v>0</v>
      </c>
      <c r="O264" s="399">
        <f t="shared" si="26"/>
        <v>0</v>
      </c>
      <c r="P264" s="399">
        <f t="shared" si="26"/>
        <v>0</v>
      </c>
      <c r="Q264" s="399">
        <f t="shared" si="26"/>
        <v>4000</v>
      </c>
      <c r="R264" s="399">
        <f t="shared" si="26"/>
        <v>0</v>
      </c>
      <c r="S264" s="399">
        <f t="shared" si="26"/>
        <v>0</v>
      </c>
      <c r="T264" s="400">
        <f t="shared" si="26"/>
        <v>0</v>
      </c>
      <c r="U264" s="523"/>
      <c r="V264" s="483">
        <f t="shared" si="25"/>
        <v>4000</v>
      </c>
    </row>
    <row r="265" spans="1:22" ht="26.25" customHeight="1">
      <c r="A265" s="56"/>
      <c r="B265" s="51"/>
      <c r="C265" s="576"/>
      <c r="D265" s="219" t="s">
        <v>870</v>
      </c>
      <c r="E265" s="103">
        <f>M266</f>
        <v>4000</v>
      </c>
      <c r="F265" s="104">
        <v>2000</v>
      </c>
      <c r="G265" s="104">
        <f>E265-F265</f>
        <v>2000</v>
      </c>
      <c r="H265" s="372">
        <f>G265/F265</f>
        <v>1</v>
      </c>
      <c r="I265" s="240" t="s">
        <v>696</v>
      </c>
      <c r="J265" s="248"/>
      <c r="K265" s="133"/>
      <c r="L265" s="61"/>
      <c r="M265" s="540"/>
      <c r="N265" s="523"/>
      <c r="O265" s="485"/>
      <c r="P265" s="485"/>
      <c r="Q265" s="485"/>
      <c r="R265" s="485"/>
      <c r="S265" s="485"/>
      <c r="T265" s="562"/>
      <c r="U265" s="523"/>
      <c r="V265" s="483">
        <f t="shared" si="25"/>
        <v>0</v>
      </c>
    </row>
    <row r="266" spans="1:22" ht="26.25" customHeight="1">
      <c r="A266" s="56"/>
      <c r="B266" s="51"/>
      <c r="C266" s="576"/>
      <c r="D266" s="219"/>
      <c r="E266" s="103"/>
      <c r="F266" s="104"/>
      <c r="G266" s="104"/>
      <c r="H266" s="372"/>
      <c r="I266" s="238" t="s">
        <v>871</v>
      </c>
      <c r="J266" s="258"/>
      <c r="K266" s="140"/>
      <c r="L266" s="28"/>
      <c r="M266" s="533">
        <v>4000</v>
      </c>
      <c r="N266" s="527">
        <v>0</v>
      </c>
      <c r="O266" s="415">
        <v>0</v>
      </c>
      <c r="P266" s="415">
        <v>0</v>
      </c>
      <c r="Q266" s="415">
        <v>4000</v>
      </c>
      <c r="R266" s="415">
        <v>0</v>
      </c>
      <c r="S266" s="415">
        <v>0</v>
      </c>
      <c r="T266" s="416">
        <v>0</v>
      </c>
      <c r="U266" s="523"/>
      <c r="V266" s="483">
        <f t="shared" si="25"/>
        <v>4000</v>
      </c>
    </row>
    <row r="267" spans="1:22" ht="26.25" customHeight="1">
      <c r="A267" s="56"/>
      <c r="B267" s="51"/>
      <c r="C267" s="576"/>
      <c r="D267" s="219"/>
      <c r="E267" s="103"/>
      <c r="F267" s="104"/>
      <c r="G267" s="104"/>
      <c r="H267" s="372"/>
      <c r="I267" s="238"/>
      <c r="J267" s="258"/>
      <c r="K267" s="140"/>
      <c r="L267" s="28"/>
      <c r="M267" s="533"/>
      <c r="N267" s="523"/>
      <c r="O267" s="485"/>
      <c r="P267" s="485"/>
      <c r="Q267" s="485"/>
      <c r="R267" s="485"/>
      <c r="S267" s="485"/>
      <c r="T267" s="562"/>
      <c r="U267" s="523"/>
      <c r="V267" s="483">
        <f t="shared" si="25"/>
        <v>0</v>
      </c>
    </row>
    <row r="268" spans="1:22" ht="26.25" customHeight="1">
      <c r="A268" s="56"/>
      <c r="B268" s="51"/>
      <c r="C268" s="705" t="s">
        <v>216</v>
      </c>
      <c r="D268" s="689"/>
      <c r="E268" s="99">
        <f>E269+E314+E353+E375+E407</f>
        <v>209525</v>
      </c>
      <c r="F268" s="99">
        <f>F269+F314+F353+F375+F407</f>
        <v>244770</v>
      </c>
      <c r="G268" s="315">
        <f>E268-F268</f>
        <v>-35245</v>
      </c>
      <c r="H268" s="368">
        <f>G268/F268</f>
        <v>-0.1439923193201781</v>
      </c>
      <c r="I268" s="183"/>
      <c r="J268" s="247"/>
      <c r="K268" s="132"/>
      <c r="L268" s="62"/>
      <c r="M268" s="477">
        <f>M269+M314+M353+M375+M407</f>
        <v>209525</v>
      </c>
      <c r="N268" s="520">
        <f aca="true" t="shared" si="27" ref="N268:T268">SUM(N269,N314,N353,N375,N407)</f>
        <v>0</v>
      </c>
      <c r="O268" s="399">
        <f t="shared" si="27"/>
        <v>49307</v>
      </c>
      <c r="P268" s="399">
        <f t="shared" si="27"/>
        <v>45306</v>
      </c>
      <c r="Q268" s="399">
        <f t="shared" si="27"/>
        <v>95760</v>
      </c>
      <c r="R268" s="399">
        <f t="shared" si="27"/>
        <v>1234</v>
      </c>
      <c r="S268" s="399">
        <f t="shared" si="27"/>
        <v>17918</v>
      </c>
      <c r="T268" s="400">
        <f t="shared" si="27"/>
        <v>0</v>
      </c>
      <c r="U268" s="523"/>
      <c r="V268" s="483">
        <f t="shared" si="25"/>
        <v>209525</v>
      </c>
    </row>
    <row r="269" spans="1:22" ht="26.25" customHeight="1">
      <c r="A269" s="56"/>
      <c r="B269" s="51"/>
      <c r="C269" s="576"/>
      <c r="D269" s="219" t="s">
        <v>176</v>
      </c>
      <c r="E269" s="103">
        <f>M269</f>
        <v>59278</v>
      </c>
      <c r="F269" s="104">
        <v>71325</v>
      </c>
      <c r="G269" s="313">
        <f>E269-F269</f>
        <v>-12047</v>
      </c>
      <c r="H269" s="314">
        <f>G269/F269</f>
        <v>-0.16890290921836662</v>
      </c>
      <c r="I269" s="240" t="s">
        <v>780</v>
      </c>
      <c r="J269" s="248"/>
      <c r="K269" s="133"/>
      <c r="L269" s="61"/>
      <c r="M269" s="540">
        <f>M270+M295+M311+M312+M313</f>
        <v>59278</v>
      </c>
      <c r="N269" s="417">
        <f>SUM(N270,N311,N312,N313)</f>
        <v>0</v>
      </c>
      <c r="O269" s="415">
        <f aca="true" t="shared" si="28" ref="O269:T269">SUM(O270,O295,O311,O312,O313)</f>
        <v>5500</v>
      </c>
      <c r="P269" s="415">
        <f t="shared" si="28"/>
        <v>5500</v>
      </c>
      <c r="Q269" s="415">
        <f t="shared" si="28"/>
        <v>35360</v>
      </c>
      <c r="R269" s="415">
        <f t="shared" si="28"/>
        <v>0</v>
      </c>
      <c r="S269" s="415">
        <f t="shared" si="28"/>
        <v>12918</v>
      </c>
      <c r="T269" s="416">
        <f t="shared" si="28"/>
        <v>0</v>
      </c>
      <c r="U269" s="523"/>
      <c r="V269" s="483">
        <f t="shared" si="25"/>
        <v>59278</v>
      </c>
    </row>
    <row r="270" spans="1:22" ht="26.25" customHeight="1">
      <c r="A270" s="56"/>
      <c r="B270" s="51"/>
      <c r="C270" s="576"/>
      <c r="D270" s="220" t="s">
        <v>161</v>
      </c>
      <c r="E270" s="103"/>
      <c r="F270" s="104"/>
      <c r="G270" s="104"/>
      <c r="H270" s="372"/>
      <c r="I270" s="238" t="s">
        <v>696</v>
      </c>
      <c r="J270" s="258"/>
      <c r="K270" s="140"/>
      <c r="L270" s="28"/>
      <c r="M270" s="534">
        <f>M271+M275+M287+M290</f>
        <v>11000</v>
      </c>
      <c r="N270" s="527">
        <v>0</v>
      </c>
      <c r="O270" s="415">
        <v>5500</v>
      </c>
      <c r="P270" s="415">
        <v>5500</v>
      </c>
      <c r="Q270" s="415">
        <v>0</v>
      </c>
      <c r="R270" s="415">
        <v>0</v>
      </c>
      <c r="S270" s="415">
        <v>0</v>
      </c>
      <c r="T270" s="416">
        <v>0</v>
      </c>
      <c r="U270" s="523"/>
      <c r="V270" s="483">
        <f t="shared" si="25"/>
        <v>11000</v>
      </c>
    </row>
    <row r="271" spans="1:22" ht="26.25" customHeight="1">
      <c r="A271" s="56"/>
      <c r="B271" s="51"/>
      <c r="C271" s="576"/>
      <c r="D271" s="220"/>
      <c r="E271" s="103"/>
      <c r="F271" s="104"/>
      <c r="G271" s="104"/>
      <c r="H271" s="372"/>
      <c r="I271" s="185" t="s">
        <v>817</v>
      </c>
      <c r="J271" s="249"/>
      <c r="K271" s="134"/>
      <c r="L271" s="54"/>
      <c r="M271" s="536">
        <f>M272+M273+M274</f>
        <v>280</v>
      </c>
      <c r="N271" s="527"/>
      <c r="O271" s="496"/>
      <c r="P271" s="496"/>
      <c r="Q271" s="496"/>
      <c r="R271" s="496"/>
      <c r="S271" s="496"/>
      <c r="T271" s="574"/>
      <c r="U271" s="523"/>
      <c r="V271" s="483">
        <f t="shared" si="25"/>
        <v>0</v>
      </c>
    </row>
    <row r="272" spans="1:22" ht="26.25" customHeight="1">
      <c r="A272" s="56"/>
      <c r="B272" s="51"/>
      <c r="C272" s="576"/>
      <c r="D272" s="220"/>
      <c r="E272" s="103"/>
      <c r="F272" s="104"/>
      <c r="G272" s="104"/>
      <c r="H272" s="372"/>
      <c r="I272" s="185" t="s">
        <v>818</v>
      </c>
      <c r="J272" s="249">
        <v>80000</v>
      </c>
      <c r="K272" s="134" t="s">
        <v>465</v>
      </c>
      <c r="L272" s="54" t="s">
        <v>143</v>
      </c>
      <c r="M272" s="536">
        <f>J272*1/1000</f>
        <v>80</v>
      </c>
      <c r="N272" s="527"/>
      <c r="O272" s="496"/>
      <c r="P272" s="496"/>
      <c r="Q272" s="496"/>
      <c r="R272" s="496"/>
      <c r="S272" s="496"/>
      <c r="T272" s="574"/>
      <c r="U272" s="523"/>
      <c r="V272" s="483">
        <f t="shared" si="25"/>
        <v>0</v>
      </c>
    </row>
    <row r="273" spans="1:22" ht="26.25" customHeight="1">
      <c r="A273" s="56"/>
      <c r="B273" s="51"/>
      <c r="C273" s="576"/>
      <c r="D273" s="220"/>
      <c r="E273" s="103"/>
      <c r="F273" s="104"/>
      <c r="G273" s="104"/>
      <c r="H273" s="372"/>
      <c r="I273" s="237" t="s">
        <v>819</v>
      </c>
      <c r="J273" s="258">
        <v>5000</v>
      </c>
      <c r="K273" s="140" t="s">
        <v>659</v>
      </c>
      <c r="L273" s="28" t="s">
        <v>143</v>
      </c>
      <c r="M273" s="534">
        <f>J273*20/1000</f>
        <v>100</v>
      </c>
      <c r="N273" s="527"/>
      <c r="O273" s="496"/>
      <c r="P273" s="496"/>
      <c r="Q273" s="496"/>
      <c r="R273" s="496"/>
      <c r="S273" s="496"/>
      <c r="T273" s="574"/>
      <c r="U273" s="523"/>
      <c r="V273" s="483">
        <f t="shared" si="25"/>
        <v>0</v>
      </c>
    </row>
    <row r="274" spans="1:22" ht="26.25" customHeight="1">
      <c r="A274" s="56"/>
      <c r="B274" s="51"/>
      <c r="C274" s="576"/>
      <c r="D274" s="220"/>
      <c r="E274" s="103"/>
      <c r="F274" s="104"/>
      <c r="G274" s="104"/>
      <c r="H274" s="372"/>
      <c r="I274" s="185" t="s">
        <v>820</v>
      </c>
      <c r="J274" s="249">
        <v>5000</v>
      </c>
      <c r="K274" s="134" t="s">
        <v>659</v>
      </c>
      <c r="L274" s="54" t="s">
        <v>143</v>
      </c>
      <c r="M274" s="536">
        <f>J274*20/1000</f>
        <v>100</v>
      </c>
      <c r="N274" s="527"/>
      <c r="O274" s="496"/>
      <c r="P274" s="496"/>
      <c r="Q274" s="496"/>
      <c r="R274" s="496"/>
      <c r="S274" s="496"/>
      <c r="T274" s="574"/>
      <c r="U274" s="523"/>
      <c r="V274" s="483">
        <f t="shared" si="25"/>
        <v>0</v>
      </c>
    </row>
    <row r="275" spans="1:22" ht="26.25" customHeight="1">
      <c r="A275" s="56"/>
      <c r="B275" s="52"/>
      <c r="C275" s="577"/>
      <c r="D275" s="223"/>
      <c r="E275" s="109"/>
      <c r="F275" s="110"/>
      <c r="G275" s="110"/>
      <c r="H275" s="374"/>
      <c r="I275" s="580" t="s">
        <v>547</v>
      </c>
      <c r="J275" s="272"/>
      <c r="K275" s="546"/>
      <c r="L275" s="308"/>
      <c r="M275" s="565">
        <f>M276+M277+M278+M279+M280+M281+M282+M283</f>
        <v>7420</v>
      </c>
      <c r="N275" s="528"/>
      <c r="O275" s="504"/>
      <c r="P275" s="504"/>
      <c r="Q275" s="504"/>
      <c r="R275" s="504"/>
      <c r="S275" s="504"/>
      <c r="T275" s="575"/>
      <c r="U275" s="523"/>
      <c r="V275" s="483">
        <f t="shared" si="25"/>
        <v>0</v>
      </c>
    </row>
    <row r="276" spans="1:22" ht="26.25" customHeight="1">
      <c r="A276" s="56"/>
      <c r="B276" s="57"/>
      <c r="C276" s="578"/>
      <c r="D276" s="303"/>
      <c r="E276" s="304"/>
      <c r="F276" s="305"/>
      <c r="G276" s="305"/>
      <c r="H276" s="375"/>
      <c r="I276" s="306" t="s">
        <v>821</v>
      </c>
      <c r="J276" s="307">
        <v>30000</v>
      </c>
      <c r="K276" s="309" t="s">
        <v>781</v>
      </c>
      <c r="L276" s="242" t="s">
        <v>143</v>
      </c>
      <c r="M276" s="542">
        <f>J276*3/1000</f>
        <v>90</v>
      </c>
      <c r="N276" s="583"/>
      <c r="O276" s="584"/>
      <c r="P276" s="584"/>
      <c r="Q276" s="584"/>
      <c r="R276" s="584"/>
      <c r="S276" s="584"/>
      <c r="T276" s="585"/>
      <c r="U276" s="523"/>
      <c r="V276" s="483">
        <f t="shared" si="25"/>
        <v>0</v>
      </c>
    </row>
    <row r="277" spans="1:22" ht="26.25" customHeight="1">
      <c r="A277" s="56"/>
      <c r="B277" s="51"/>
      <c r="C277" s="576"/>
      <c r="D277" s="220"/>
      <c r="E277" s="103"/>
      <c r="F277" s="104"/>
      <c r="G277" s="104"/>
      <c r="H277" s="372"/>
      <c r="I277" s="186" t="s">
        <v>822</v>
      </c>
      <c r="J277" s="250">
        <v>100000</v>
      </c>
      <c r="K277" s="135" t="s">
        <v>411</v>
      </c>
      <c r="L277" s="49" t="s">
        <v>143</v>
      </c>
      <c r="M277" s="538">
        <f>J277*12/1000</f>
        <v>1200</v>
      </c>
      <c r="N277" s="527"/>
      <c r="O277" s="496"/>
      <c r="P277" s="496"/>
      <c r="Q277" s="496"/>
      <c r="R277" s="496"/>
      <c r="S277" s="496"/>
      <c r="T277" s="574"/>
      <c r="U277" s="523"/>
      <c r="V277" s="483">
        <f t="shared" si="25"/>
        <v>0</v>
      </c>
    </row>
    <row r="278" spans="1:22" ht="26.25" customHeight="1">
      <c r="A278" s="56"/>
      <c r="B278" s="51"/>
      <c r="C278" s="576"/>
      <c r="D278" s="220"/>
      <c r="E278" s="103"/>
      <c r="F278" s="104"/>
      <c r="G278" s="104"/>
      <c r="H278" s="372"/>
      <c r="I278" s="185" t="s">
        <v>823</v>
      </c>
      <c r="J278" s="249">
        <v>100000</v>
      </c>
      <c r="K278" s="134" t="s">
        <v>538</v>
      </c>
      <c r="L278" s="54" t="s">
        <v>143</v>
      </c>
      <c r="M278" s="536">
        <f>J278*5/1000</f>
        <v>500</v>
      </c>
      <c r="N278" s="625"/>
      <c r="O278" s="626"/>
      <c r="P278" s="626"/>
      <c r="Q278" s="626"/>
      <c r="R278" s="626"/>
      <c r="S278" s="626"/>
      <c r="T278" s="627"/>
      <c r="U278" s="621"/>
      <c r="V278" s="483">
        <f t="shared" si="25"/>
        <v>0</v>
      </c>
    </row>
    <row r="279" spans="1:22" ht="26.25" customHeight="1">
      <c r="A279" s="56"/>
      <c r="B279" s="51"/>
      <c r="C279" s="576"/>
      <c r="D279" s="220"/>
      <c r="E279" s="103"/>
      <c r="F279" s="104"/>
      <c r="G279" s="104"/>
      <c r="H279" s="372"/>
      <c r="I279" s="185" t="s">
        <v>824</v>
      </c>
      <c r="J279" s="249">
        <v>140000</v>
      </c>
      <c r="K279" s="134" t="s">
        <v>465</v>
      </c>
      <c r="L279" s="54" t="s">
        <v>143</v>
      </c>
      <c r="M279" s="536">
        <f>J279*1/1000</f>
        <v>140</v>
      </c>
      <c r="N279" s="527"/>
      <c r="O279" s="496"/>
      <c r="P279" s="496"/>
      <c r="Q279" s="496"/>
      <c r="R279" s="496"/>
      <c r="S279" s="496"/>
      <c r="T279" s="574"/>
      <c r="U279" s="523"/>
      <c r="V279" s="483">
        <f t="shared" si="25"/>
        <v>0</v>
      </c>
    </row>
    <row r="280" spans="1:22" ht="26.25" customHeight="1">
      <c r="A280" s="56"/>
      <c r="B280" s="51"/>
      <c r="C280" s="576"/>
      <c r="D280" s="220"/>
      <c r="E280" s="103"/>
      <c r="F280" s="104"/>
      <c r="G280" s="104"/>
      <c r="H280" s="372"/>
      <c r="I280" s="185" t="s">
        <v>825</v>
      </c>
      <c r="J280" s="249">
        <v>40000</v>
      </c>
      <c r="K280" s="134" t="s">
        <v>649</v>
      </c>
      <c r="L280" s="54" t="s">
        <v>143</v>
      </c>
      <c r="M280" s="536">
        <f>J280*6/1000</f>
        <v>240</v>
      </c>
      <c r="N280" s="527"/>
      <c r="O280" s="496"/>
      <c r="P280" s="496"/>
      <c r="Q280" s="496"/>
      <c r="R280" s="496"/>
      <c r="S280" s="496"/>
      <c r="T280" s="574"/>
      <c r="U280" s="523"/>
      <c r="V280" s="483">
        <f t="shared" si="25"/>
        <v>0</v>
      </c>
    </row>
    <row r="281" spans="1:22" ht="26.25" customHeight="1">
      <c r="A281" s="56"/>
      <c r="B281" s="51"/>
      <c r="C281" s="576"/>
      <c r="D281" s="220"/>
      <c r="E281" s="103"/>
      <c r="F281" s="104"/>
      <c r="G281" s="104"/>
      <c r="H281" s="372"/>
      <c r="I281" s="185" t="s">
        <v>826</v>
      </c>
      <c r="J281" s="249">
        <v>100000</v>
      </c>
      <c r="K281" s="134" t="s">
        <v>465</v>
      </c>
      <c r="L281" s="54" t="s">
        <v>143</v>
      </c>
      <c r="M281" s="536">
        <f>J281*1/1000</f>
        <v>100</v>
      </c>
      <c r="N281" s="527"/>
      <c r="O281" s="496"/>
      <c r="P281" s="496"/>
      <c r="Q281" s="496"/>
      <c r="R281" s="496"/>
      <c r="S281" s="496"/>
      <c r="T281" s="574"/>
      <c r="U281" s="523"/>
      <c r="V281" s="483">
        <f t="shared" si="25"/>
        <v>0</v>
      </c>
    </row>
    <row r="282" spans="1:22" ht="26.25" customHeight="1">
      <c r="A282" s="56"/>
      <c r="B282" s="51"/>
      <c r="C282" s="576"/>
      <c r="D282" s="220"/>
      <c r="E282" s="103"/>
      <c r="F282" s="104"/>
      <c r="G282" s="104"/>
      <c r="H282" s="372"/>
      <c r="I282" s="185" t="s">
        <v>827</v>
      </c>
      <c r="J282" s="249">
        <v>400000</v>
      </c>
      <c r="K282" s="134" t="s">
        <v>411</v>
      </c>
      <c r="L282" s="54" t="s">
        <v>143</v>
      </c>
      <c r="M282" s="536">
        <f>J282*12/1000</f>
        <v>4800</v>
      </c>
      <c r="N282" s="527"/>
      <c r="O282" s="496"/>
      <c r="P282" s="496"/>
      <c r="Q282" s="496"/>
      <c r="R282" s="496"/>
      <c r="S282" s="496"/>
      <c r="T282" s="574"/>
      <c r="U282" s="523"/>
      <c r="V282" s="483">
        <f t="shared" si="25"/>
        <v>0</v>
      </c>
    </row>
    <row r="283" spans="1:22" ht="26.25" customHeight="1">
      <c r="A283" s="56"/>
      <c r="B283" s="51"/>
      <c r="C283" s="576"/>
      <c r="D283" s="220"/>
      <c r="E283" s="103"/>
      <c r="F283" s="104"/>
      <c r="G283" s="104"/>
      <c r="H283" s="372"/>
      <c r="I283" s="185" t="s">
        <v>828</v>
      </c>
      <c r="J283" s="249"/>
      <c r="K283" s="134"/>
      <c r="L283" s="54"/>
      <c r="M283" s="536">
        <f>M284+M285+M286</f>
        <v>350</v>
      </c>
      <c r="N283" s="527"/>
      <c r="O283" s="496"/>
      <c r="P283" s="496"/>
      <c r="Q283" s="496"/>
      <c r="R283" s="496"/>
      <c r="S283" s="496"/>
      <c r="T283" s="574"/>
      <c r="U283" s="523"/>
      <c r="V283" s="483">
        <f t="shared" si="25"/>
        <v>0</v>
      </c>
    </row>
    <row r="284" spans="1:22" ht="26.25" customHeight="1">
      <c r="A284" s="56"/>
      <c r="B284" s="51"/>
      <c r="C284" s="576"/>
      <c r="D284" s="220"/>
      <c r="E284" s="103"/>
      <c r="F284" s="104"/>
      <c r="G284" s="104"/>
      <c r="H284" s="372"/>
      <c r="I284" s="185" t="s">
        <v>829</v>
      </c>
      <c r="J284" s="249">
        <v>50000</v>
      </c>
      <c r="K284" s="134" t="s">
        <v>782</v>
      </c>
      <c r="L284" s="54" t="s">
        <v>143</v>
      </c>
      <c r="M284" s="536">
        <f>J284*2/1000</f>
        <v>100</v>
      </c>
      <c r="N284" s="527"/>
      <c r="O284" s="496"/>
      <c r="P284" s="496"/>
      <c r="Q284" s="496"/>
      <c r="R284" s="496"/>
      <c r="S284" s="496"/>
      <c r="T284" s="574"/>
      <c r="U284" s="523"/>
      <c r="V284" s="483">
        <f t="shared" si="25"/>
        <v>0</v>
      </c>
    </row>
    <row r="285" spans="1:22" ht="26.25" customHeight="1">
      <c r="A285" s="56"/>
      <c r="B285" s="51"/>
      <c r="C285" s="576"/>
      <c r="D285" s="220"/>
      <c r="E285" s="103"/>
      <c r="F285" s="104"/>
      <c r="G285" s="104"/>
      <c r="H285" s="372"/>
      <c r="I285" s="185" t="s">
        <v>830</v>
      </c>
      <c r="J285" s="249">
        <v>20000</v>
      </c>
      <c r="K285" s="134" t="s">
        <v>783</v>
      </c>
      <c r="L285" s="54" t="s">
        <v>143</v>
      </c>
      <c r="M285" s="536">
        <f>J285*6/1000</f>
        <v>120</v>
      </c>
      <c r="N285" s="527"/>
      <c r="O285" s="496"/>
      <c r="P285" s="496"/>
      <c r="Q285" s="496"/>
      <c r="R285" s="496"/>
      <c r="S285" s="496"/>
      <c r="T285" s="574"/>
      <c r="U285" s="523"/>
      <c r="V285" s="483">
        <f t="shared" si="25"/>
        <v>0</v>
      </c>
    </row>
    <row r="286" spans="1:22" ht="26.25" customHeight="1">
      <c r="A286" s="56"/>
      <c r="B286" s="51"/>
      <c r="C286" s="576"/>
      <c r="D286" s="220"/>
      <c r="E286" s="103"/>
      <c r="F286" s="104"/>
      <c r="G286" s="104"/>
      <c r="H286" s="372"/>
      <c r="I286" s="185" t="s">
        <v>831</v>
      </c>
      <c r="J286" s="249">
        <v>65000</v>
      </c>
      <c r="K286" s="134" t="s">
        <v>782</v>
      </c>
      <c r="L286" s="54" t="s">
        <v>143</v>
      </c>
      <c r="M286" s="536">
        <f>J286*2/1000</f>
        <v>130</v>
      </c>
      <c r="N286" s="527"/>
      <c r="O286" s="496"/>
      <c r="P286" s="496"/>
      <c r="Q286" s="496"/>
      <c r="R286" s="496"/>
      <c r="S286" s="496"/>
      <c r="T286" s="574"/>
      <c r="U286" s="523"/>
      <c r="V286" s="483">
        <f t="shared" si="25"/>
        <v>0</v>
      </c>
    </row>
    <row r="287" spans="1:22" ht="26.25" customHeight="1">
      <c r="A287" s="56"/>
      <c r="B287" s="51"/>
      <c r="C287" s="576"/>
      <c r="D287" s="220"/>
      <c r="E287" s="103"/>
      <c r="F287" s="104"/>
      <c r="G287" s="104"/>
      <c r="H287" s="372"/>
      <c r="I287" s="185" t="s">
        <v>832</v>
      </c>
      <c r="J287" s="249"/>
      <c r="K287" s="134"/>
      <c r="L287" s="54"/>
      <c r="M287" s="536">
        <f>M288+M289</f>
        <v>3050</v>
      </c>
      <c r="N287" s="527"/>
      <c r="O287" s="496"/>
      <c r="P287" s="496"/>
      <c r="Q287" s="496"/>
      <c r="R287" s="496"/>
      <c r="S287" s="496"/>
      <c r="T287" s="574"/>
      <c r="U287" s="523"/>
      <c r="V287" s="483">
        <f t="shared" si="25"/>
        <v>0</v>
      </c>
    </row>
    <row r="288" spans="1:22" ht="26.25" customHeight="1">
      <c r="A288" s="56"/>
      <c r="B288" s="51"/>
      <c r="C288" s="576"/>
      <c r="D288" s="220"/>
      <c r="E288" s="103"/>
      <c r="F288" s="104"/>
      <c r="G288" s="104"/>
      <c r="H288" s="372"/>
      <c r="I288" s="185" t="s">
        <v>833</v>
      </c>
      <c r="J288" s="249"/>
      <c r="K288" s="134"/>
      <c r="L288" s="54"/>
      <c r="M288" s="536">
        <f>3000000/1000</f>
        <v>3000</v>
      </c>
      <c r="N288" s="527"/>
      <c r="O288" s="496"/>
      <c r="P288" s="496"/>
      <c r="Q288" s="496"/>
      <c r="R288" s="496"/>
      <c r="S288" s="496"/>
      <c r="T288" s="574"/>
      <c r="U288" s="523"/>
      <c r="V288" s="483">
        <f t="shared" si="25"/>
        <v>0</v>
      </c>
    </row>
    <row r="289" spans="1:22" ht="26.25" customHeight="1">
      <c r="A289" s="56"/>
      <c r="B289" s="51"/>
      <c r="C289" s="576"/>
      <c r="D289" s="220"/>
      <c r="E289" s="103"/>
      <c r="F289" s="104"/>
      <c r="G289" s="104"/>
      <c r="H289" s="372"/>
      <c r="I289" s="185" t="s">
        <v>834</v>
      </c>
      <c r="J289" s="249">
        <v>25000</v>
      </c>
      <c r="K289" s="134" t="s">
        <v>466</v>
      </c>
      <c r="L289" s="54" t="s">
        <v>143</v>
      </c>
      <c r="M289" s="536">
        <f>J289*2/1000</f>
        <v>50</v>
      </c>
      <c r="N289" s="527"/>
      <c r="O289" s="496"/>
      <c r="P289" s="496"/>
      <c r="Q289" s="496"/>
      <c r="R289" s="496"/>
      <c r="S289" s="496"/>
      <c r="T289" s="574"/>
      <c r="U289" s="523"/>
      <c r="V289" s="483">
        <f t="shared" si="25"/>
        <v>0</v>
      </c>
    </row>
    <row r="290" spans="1:22" ht="26.25" customHeight="1">
      <c r="A290" s="56"/>
      <c r="B290" s="51"/>
      <c r="C290" s="576"/>
      <c r="D290" s="220"/>
      <c r="E290" s="103"/>
      <c r="F290" s="104"/>
      <c r="G290" s="104"/>
      <c r="H290" s="372"/>
      <c r="I290" s="185" t="s">
        <v>548</v>
      </c>
      <c r="J290" s="249"/>
      <c r="K290" s="134"/>
      <c r="L290" s="54"/>
      <c r="M290" s="536">
        <f>M291+M294</f>
        <v>250</v>
      </c>
      <c r="N290" s="527"/>
      <c r="O290" s="496"/>
      <c r="P290" s="496"/>
      <c r="Q290" s="496"/>
      <c r="R290" s="496"/>
      <c r="S290" s="496"/>
      <c r="T290" s="574"/>
      <c r="U290" s="523"/>
      <c r="V290" s="483">
        <f t="shared" si="25"/>
        <v>0</v>
      </c>
    </row>
    <row r="291" spans="1:22" ht="26.25" customHeight="1">
      <c r="A291" s="56"/>
      <c r="B291" s="52"/>
      <c r="C291" s="577"/>
      <c r="D291" s="223"/>
      <c r="E291" s="109"/>
      <c r="F291" s="110"/>
      <c r="G291" s="110"/>
      <c r="H291" s="374"/>
      <c r="I291" s="580" t="s">
        <v>536</v>
      </c>
      <c r="J291" s="272"/>
      <c r="K291" s="546"/>
      <c r="L291" s="308"/>
      <c r="M291" s="565">
        <f>M292+M293</f>
        <v>200</v>
      </c>
      <c r="N291" s="528"/>
      <c r="O291" s="504"/>
      <c r="P291" s="504"/>
      <c r="Q291" s="504"/>
      <c r="R291" s="504"/>
      <c r="S291" s="504"/>
      <c r="T291" s="575"/>
      <c r="U291" s="523"/>
      <c r="V291" s="483">
        <f t="shared" si="25"/>
        <v>0</v>
      </c>
    </row>
    <row r="292" spans="1:22" ht="26.25" customHeight="1">
      <c r="A292" s="56"/>
      <c r="B292" s="57"/>
      <c r="C292" s="578"/>
      <c r="D292" s="303"/>
      <c r="E292" s="304"/>
      <c r="F292" s="305"/>
      <c r="G292" s="305"/>
      <c r="H292" s="375"/>
      <c r="I292" s="306" t="s">
        <v>784</v>
      </c>
      <c r="J292" s="307">
        <v>150000</v>
      </c>
      <c r="K292" s="309" t="s">
        <v>465</v>
      </c>
      <c r="L292" s="242" t="s">
        <v>143</v>
      </c>
      <c r="M292" s="542">
        <f>J292*1/1000</f>
        <v>150</v>
      </c>
      <c r="N292" s="583"/>
      <c r="O292" s="584"/>
      <c r="P292" s="584"/>
      <c r="Q292" s="584"/>
      <c r="R292" s="584"/>
      <c r="S292" s="584"/>
      <c r="T292" s="585"/>
      <c r="U292" s="523"/>
      <c r="V292" s="483">
        <f t="shared" si="25"/>
        <v>0</v>
      </c>
    </row>
    <row r="293" spans="1:22" ht="26.25" customHeight="1">
      <c r="A293" s="56"/>
      <c r="B293" s="51"/>
      <c r="C293" s="576"/>
      <c r="D293" s="220"/>
      <c r="E293" s="103"/>
      <c r="F293" s="104"/>
      <c r="G293" s="104"/>
      <c r="H293" s="372"/>
      <c r="I293" s="185" t="s">
        <v>785</v>
      </c>
      <c r="J293" s="249">
        <v>50000</v>
      </c>
      <c r="K293" s="134" t="s">
        <v>465</v>
      </c>
      <c r="L293" s="54" t="s">
        <v>143</v>
      </c>
      <c r="M293" s="536">
        <f>J293*1/1000</f>
        <v>50</v>
      </c>
      <c r="N293" s="527"/>
      <c r="O293" s="496"/>
      <c r="P293" s="496"/>
      <c r="Q293" s="496"/>
      <c r="R293" s="496"/>
      <c r="S293" s="496"/>
      <c r="T293" s="574"/>
      <c r="U293" s="523"/>
      <c r="V293" s="483">
        <f t="shared" si="25"/>
        <v>0</v>
      </c>
    </row>
    <row r="294" spans="1:22" ht="26.25" customHeight="1">
      <c r="A294" s="56"/>
      <c r="B294" s="51"/>
      <c r="C294" s="576"/>
      <c r="D294" s="220"/>
      <c r="E294" s="103"/>
      <c r="F294" s="104"/>
      <c r="G294" s="104"/>
      <c r="H294" s="372"/>
      <c r="I294" s="186" t="s">
        <v>537</v>
      </c>
      <c r="J294" s="250">
        <v>25000</v>
      </c>
      <c r="K294" s="135" t="s">
        <v>466</v>
      </c>
      <c r="L294" s="49" t="s">
        <v>143</v>
      </c>
      <c r="M294" s="538">
        <f>J294*2/1000</f>
        <v>50</v>
      </c>
      <c r="N294" s="527"/>
      <c r="O294" s="496"/>
      <c r="P294" s="496"/>
      <c r="Q294" s="496"/>
      <c r="R294" s="496"/>
      <c r="S294" s="496"/>
      <c r="T294" s="574"/>
      <c r="U294" s="523"/>
      <c r="V294" s="483">
        <f t="shared" si="25"/>
        <v>0</v>
      </c>
    </row>
    <row r="295" spans="1:22" ht="26.25" customHeight="1">
      <c r="A295" s="56"/>
      <c r="B295" s="51"/>
      <c r="C295" s="576"/>
      <c r="D295" s="220"/>
      <c r="E295" s="103"/>
      <c r="F295" s="104"/>
      <c r="G295" s="104"/>
      <c r="H295" s="372"/>
      <c r="I295" s="238" t="s">
        <v>498</v>
      </c>
      <c r="J295" s="255"/>
      <c r="K295" s="140"/>
      <c r="L295" s="28"/>
      <c r="M295" s="447">
        <f>M296+M303+M307+M309</f>
        <v>12918</v>
      </c>
      <c r="N295" s="417">
        <f>SUM(N296,N307)</f>
        <v>0</v>
      </c>
      <c r="O295" s="415">
        <f>SUM(O296,O307,O324,O325,O326,O327)</f>
        <v>0</v>
      </c>
      <c r="P295" s="415">
        <f>SUM(P296,P307,P324,P325,P326,P327)</f>
        <v>0</v>
      </c>
      <c r="Q295" s="415">
        <v>0</v>
      </c>
      <c r="R295" s="415">
        <f>SUM(R296,R307,R324,R325,R326,R327)</f>
        <v>0</v>
      </c>
      <c r="S295" s="415">
        <v>12918</v>
      </c>
      <c r="T295" s="416">
        <f>SUM(T296,T307,T324,T325,T326,T327)</f>
        <v>0</v>
      </c>
      <c r="U295" s="523"/>
      <c r="V295" s="483">
        <f t="shared" si="25"/>
        <v>12918</v>
      </c>
    </row>
    <row r="296" spans="1:22" ht="26.25" customHeight="1">
      <c r="A296" s="56"/>
      <c r="B296" s="51"/>
      <c r="C296" s="576"/>
      <c r="D296" s="220"/>
      <c r="E296" s="103"/>
      <c r="F296" s="104"/>
      <c r="G296" s="104"/>
      <c r="H296" s="372"/>
      <c r="I296" s="185" t="s">
        <v>513</v>
      </c>
      <c r="J296" s="249"/>
      <c r="K296" s="134"/>
      <c r="L296" s="54"/>
      <c r="M296" s="536">
        <f>SUM(M297:M302)</f>
        <v>10498</v>
      </c>
      <c r="N296" s="527"/>
      <c r="O296" s="496"/>
      <c r="P296" s="496"/>
      <c r="Q296" s="496"/>
      <c r="R296" s="496"/>
      <c r="S296" s="496"/>
      <c r="T296" s="574"/>
      <c r="U296" s="523"/>
      <c r="V296" s="483">
        <f t="shared" si="25"/>
        <v>0</v>
      </c>
    </row>
    <row r="297" spans="1:22" ht="26.25" customHeight="1">
      <c r="A297" s="56"/>
      <c r="B297" s="51"/>
      <c r="C297" s="576"/>
      <c r="D297" s="220"/>
      <c r="E297" s="103"/>
      <c r="F297" s="104"/>
      <c r="G297" s="104"/>
      <c r="H297" s="372"/>
      <c r="I297" s="186" t="s">
        <v>500</v>
      </c>
      <c r="J297" s="250">
        <v>400000</v>
      </c>
      <c r="K297" s="135" t="s">
        <v>499</v>
      </c>
      <c r="L297" s="49" t="s">
        <v>143</v>
      </c>
      <c r="M297" s="444">
        <f>J297*10/1000</f>
        <v>4000</v>
      </c>
      <c r="N297" s="527"/>
      <c r="O297" s="496"/>
      <c r="P297" s="496"/>
      <c r="Q297" s="496"/>
      <c r="R297" s="415"/>
      <c r="S297" s="496"/>
      <c r="T297" s="574"/>
      <c r="U297" s="523"/>
      <c r="V297" s="483">
        <f t="shared" si="25"/>
        <v>0</v>
      </c>
    </row>
    <row r="298" spans="1:22" ht="26.25" customHeight="1">
      <c r="A298" s="56"/>
      <c r="B298" s="51"/>
      <c r="C298" s="576"/>
      <c r="D298" s="220"/>
      <c r="E298" s="103"/>
      <c r="F298" s="104"/>
      <c r="G298" s="104"/>
      <c r="H298" s="372"/>
      <c r="I298" s="186" t="s">
        <v>501</v>
      </c>
      <c r="J298" s="250">
        <v>200000</v>
      </c>
      <c r="K298" s="135" t="s">
        <v>499</v>
      </c>
      <c r="L298" s="49" t="s">
        <v>143</v>
      </c>
      <c r="M298" s="444">
        <f>J298*10/1000</f>
        <v>2000</v>
      </c>
      <c r="N298" s="527"/>
      <c r="O298" s="496"/>
      <c r="P298" s="496"/>
      <c r="Q298" s="496"/>
      <c r="R298" s="415"/>
      <c r="S298" s="496"/>
      <c r="T298" s="574"/>
      <c r="U298" s="523"/>
      <c r="V298" s="483">
        <f t="shared" si="25"/>
        <v>0</v>
      </c>
    </row>
    <row r="299" spans="1:22" ht="26.25" customHeight="1">
      <c r="A299" s="56"/>
      <c r="B299" s="51"/>
      <c r="C299" s="576"/>
      <c r="D299" s="220"/>
      <c r="E299" s="103"/>
      <c r="F299" s="104"/>
      <c r="G299" s="104"/>
      <c r="H299" s="372"/>
      <c r="I299" s="186" t="s">
        <v>502</v>
      </c>
      <c r="J299" s="250"/>
      <c r="K299" s="135"/>
      <c r="L299" s="49"/>
      <c r="M299" s="444">
        <v>298</v>
      </c>
      <c r="N299" s="527"/>
      <c r="O299" s="496"/>
      <c r="P299" s="496"/>
      <c r="Q299" s="496"/>
      <c r="R299" s="415"/>
      <c r="S299" s="496"/>
      <c r="T299" s="574"/>
      <c r="U299" s="523"/>
      <c r="V299" s="483">
        <f t="shared" si="25"/>
        <v>0</v>
      </c>
    </row>
    <row r="300" spans="1:22" ht="26.25" customHeight="1">
      <c r="A300" s="56"/>
      <c r="B300" s="51"/>
      <c r="C300" s="576"/>
      <c r="D300" s="220"/>
      <c r="E300" s="103"/>
      <c r="F300" s="104"/>
      <c r="G300" s="104"/>
      <c r="H300" s="372"/>
      <c r="I300" s="186" t="s">
        <v>503</v>
      </c>
      <c r="J300" s="250">
        <v>40000</v>
      </c>
      <c r="K300" s="135" t="s">
        <v>506</v>
      </c>
      <c r="L300" s="49" t="s">
        <v>143</v>
      </c>
      <c r="M300" s="444">
        <f>J300*4*10/1000</f>
        <v>1600</v>
      </c>
      <c r="N300" s="527"/>
      <c r="O300" s="496"/>
      <c r="P300" s="496"/>
      <c r="Q300" s="496"/>
      <c r="R300" s="415"/>
      <c r="S300" s="496"/>
      <c r="T300" s="574"/>
      <c r="U300" s="523"/>
      <c r="V300" s="483">
        <f t="shared" si="25"/>
        <v>0</v>
      </c>
    </row>
    <row r="301" spans="1:22" ht="26.25" customHeight="1">
      <c r="A301" s="56"/>
      <c r="B301" s="51"/>
      <c r="C301" s="576"/>
      <c r="D301" s="220"/>
      <c r="E301" s="103"/>
      <c r="F301" s="104"/>
      <c r="G301" s="104"/>
      <c r="H301" s="372"/>
      <c r="I301" s="186" t="s">
        <v>504</v>
      </c>
      <c r="J301" s="250">
        <v>40000</v>
      </c>
      <c r="K301" s="135" t="s">
        <v>506</v>
      </c>
      <c r="L301" s="49" t="s">
        <v>143</v>
      </c>
      <c r="M301" s="444">
        <f>J301*4*10/1000</f>
        <v>1600</v>
      </c>
      <c r="N301" s="527"/>
      <c r="O301" s="496"/>
      <c r="P301" s="496"/>
      <c r="Q301" s="496"/>
      <c r="R301" s="415"/>
      <c r="S301" s="496"/>
      <c r="T301" s="574"/>
      <c r="U301" s="523"/>
      <c r="V301" s="483">
        <f t="shared" si="25"/>
        <v>0</v>
      </c>
    </row>
    <row r="302" spans="1:22" ht="26.25" customHeight="1">
      <c r="A302" s="56"/>
      <c r="B302" s="51"/>
      <c r="C302" s="576"/>
      <c r="D302" s="220"/>
      <c r="E302" s="103"/>
      <c r="F302" s="104"/>
      <c r="G302" s="104"/>
      <c r="H302" s="372"/>
      <c r="I302" s="186" t="s">
        <v>505</v>
      </c>
      <c r="J302" s="250">
        <v>25000</v>
      </c>
      <c r="K302" s="135" t="s">
        <v>506</v>
      </c>
      <c r="L302" s="49" t="s">
        <v>143</v>
      </c>
      <c r="M302" s="444">
        <f>J302*4*10/1000</f>
        <v>1000</v>
      </c>
      <c r="N302" s="527"/>
      <c r="O302" s="496"/>
      <c r="P302" s="496"/>
      <c r="Q302" s="496"/>
      <c r="R302" s="415"/>
      <c r="S302" s="496"/>
      <c r="T302" s="574"/>
      <c r="U302" s="523"/>
      <c r="V302" s="483">
        <f t="shared" si="25"/>
        <v>0</v>
      </c>
    </row>
    <row r="303" spans="1:22" ht="26.25" customHeight="1">
      <c r="A303" s="56"/>
      <c r="B303" s="51"/>
      <c r="C303" s="576"/>
      <c r="D303" s="220"/>
      <c r="E303" s="103"/>
      <c r="F303" s="104"/>
      <c r="G303" s="104"/>
      <c r="H303" s="372"/>
      <c r="I303" s="185" t="s">
        <v>514</v>
      </c>
      <c r="J303" s="256"/>
      <c r="K303" s="134"/>
      <c r="L303" s="54"/>
      <c r="M303" s="536">
        <f>SUM(M304:M306)</f>
        <v>810</v>
      </c>
      <c r="N303" s="625"/>
      <c r="O303" s="626"/>
      <c r="P303" s="626"/>
      <c r="Q303" s="626"/>
      <c r="R303" s="406"/>
      <c r="S303" s="626"/>
      <c r="T303" s="627"/>
      <c r="U303" s="523"/>
      <c r="V303" s="483">
        <f t="shared" si="25"/>
        <v>0</v>
      </c>
    </row>
    <row r="304" spans="1:22" ht="26.25" customHeight="1">
      <c r="A304" s="56"/>
      <c r="B304" s="51"/>
      <c r="C304" s="576"/>
      <c r="D304" s="220"/>
      <c r="E304" s="103"/>
      <c r="F304" s="104"/>
      <c r="G304" s="104"/>
      <c r="H304" s="372"/>
      <c r="I304" s="186" t="s">
        <v>507</v>
      </c>
      <c r="J304" s="250">
        <v>80000</v>
      </c>
      <c r="K304" s="135" t="s">
        <v>466</v>
      </c>
      <c r="L304" s="49" t="s">
        <v>143</v>
      </c>
      <c r="M304" s="444">
        <f>J304*2/1000</f>
        <v>160</v>
      </c>
      <c r="N304" s="527"/>
      <c r="O304" s="496"/>
      <c r="P304" s="496"/>
      <c r="Q304" s="496"/>
      <c r="R304" s="415"/>
      <c r="S304" s="496"/>
      <c r="T304" s="574"/>
      <c r="U304" s="523"/>
      <c r="V304" s="483">
        <f t="shared" si="25"/>
        <v>0</v>
      </c>
    </row>
    <row r="305" spans="1:22" ht="26.25" customHeight="1">
      <c r="A305" s="56"/>
      <c r="B305" s="51"/>
      <c r="C305" s="576"/>
      <c r="D305" s="220"/>
      <c r="E305" s="103"/>
      <c r="F305" s="104"/>
      <c r="G305" s="104"/>
      <c r="H305" s="372"/>
      <c r="I305" s="186" t="s">
        <v>509</v>
      </c>
      <c r="J305" s="250">
        <v>150000</v>
      </c>
      <c r="K305" s="135" t="s">
        <v>510</v>
      </c>
      <c r="L305" s="49" t="s">
        <v>143</v>
      </c>
      <c r="M305" s="444">
        <f>J305*1/1000</f>
        <v>150</v>
      </c>
      <c r="N305" s="527"/>
      <c r="O305" s="496"/>
      <c r="P305" s="496"/>
      <c r="Q305" s="496"/>
      <c r="R305" s="415"/>
      <c r="S305" s="496"/>
      <c r="T305" s="574"/>
      <c r="U305" s="523"/>
      <c r="V305" s="483">
        <f t="shared" si="25"/>
        <v>0</v>
      </c>
    </row>
    <row r="306" spans="1:22" ht="26.25" customHeight="1">
      <c r="A306" s="56"/>
      <c r="B306" s="51"/>
      <c r="C306" s="576"/>
      <c r="D306" s="220"/>
      <c r="E306" s="103"/>
      <c r="F306" s="104"/>
      <c r="G306" s="104"/>
      <c r="H306" s="372"/>
      <c r="I306" s="186" t="s">
        <v>508</v>
      </c>
      <c r="J306" s="250">
        <v>500000</v>
      </c>
      <c r="K306" s="135" t="s">
        <v>510</v>
      </c>
      <c r="L306" s="49" t="s">
        <v>143</v>
      </c>
      <c r="M306" s="444">
        <f>J306*1/1000</f>
        <v>500</v>
      </c>
      <c r="N306" s="527"/>
      <c r="O306" s="496"/>
      <c r="P306" s="496"/>
      <c r="Q306" s="496"/>
      <c r="R306" s="415"/>
      <c r="S306" s="496"/>
      <c r="T306" s="574"/>
      <c r="U306" s="523"/>
      <c r="V306" s="483">
        <f t="shared" si="25"/>
        <v>0</v>
      </c>
    </row>
    <row r="307" spans="1:22" ht="26.25" customHeight="1">
      <c r="A307" s="56"/>
      <c r="B307" s="52"/>
      <c r="C307" s="577"/>
      <c r="D307" s="223"/>
      <c r="E307" s="109"/>
      <c r="F307" s="110"/>
      <c r="G307" s="110"/>
      <c r="H307" s="374"/>
      <c r="I307" s="193" t="s">
        <v>515</v>
      </c>
      <c r="J307" s="569"/>
      <c r="K307" s="139"/>
      <c r="L307" s="50"/>
      <c r="M307" s="570">
        <f>SUM(M308)</f>
        <v>1560</v>
      </c>
      <c r="N307" s="528"/>
      <c r="O307" s="504"/>
      <c r="P307" s="504"/>
      <c r="Q307" s="504"/>
      <c r="R307" s="432"/>
      <c r="S307" s="504"/>
      <c r="T307" s="575"/>
      <c r="U307" s="523"/>
      <c r="V307" s="483">
        <f t="shared" si="25"/>
        <v>0</v>
      </c>
    </row>
    <row r="308" spans="1:22" ht="26.25" customHeight="1">
      <c r="A308" s="56"/>
      <c r="B308" s="57"/>
      <c r="C308" s="578"/>
      <c r="D308" s="303"/>
      <c r="E308" s="304"/>
      <c r="F308" s="305"/>
      <c r="G308" s="305"/>
      <c r="H308" s="375"/>
      <c r="I308" s="306" t="s">
        <v>511</v>
      </c>
      <c r="J308" s="307">
        <v>130000</v>
      </c>
      <c r="K308" s="309" t="s">
        <v>512</v>
      </c>
      <c r="L308" s="242" t="s">
        <v>143</v>
      </c>
      <c r="M308" s="514">
        <f>J308*12/1000</f>
        <v>1560</v>
      </c>
      <c r="N308" s="583"/>
      <c r="O308" s="584"/>
      <c r="P308" s="584"/>
      <c r="Q308" s="584"/>
      <c r="R308" s="469"/>
      <c r="S308" s="584"/>
      <c r="T308" s="585"/>
      <c r="U308" s="523"/>
      <c r="V308" s="483">
        <f t="shared" si="25"/>
        <v>0</v>
      </c>
    </row>
    <row r="309" spans="1:22" ht="26.25" customHeight="1">
      <c r="A309" s="56"/>
      <c r="B309" s="51"/>
      <c r="C309" s="576"/>
      <c r="D309" s="220"/>
      <c r="E309" s="103"/>
      <c r="F309" s="104"/>
      <c r="G309" s="104"/>
      <c r="H309" s="372"/>
      <c r="I309" s="186" t="s">
        <v>516</v>
      </c>
      <c r="J309" s="260"/>
      <c r="K309" s="135"/>
      <c r="L309" s="49"/>
      <c r="M309" s="538">
        <f>SUM(M310)</f>
        <v>50</v>
      </c>
      <c r="N309" s="527"/>
      <c r="O309" s="496"/>
      <c r="P309" s="496"/>
      <c r="Q309" s="496"/>
      <c r="R309" s="415"/>
      <c r="S309" s="496"/>
      <c r="T309" s="574"/>
      <c r="U309" s="523"/>
      <c r="V309" s="483">
        <f t="shared" si="25"/>
        <v>0</v>
      </c>
    </row>
    <row r="310" spans="1:22" ht="26.25" customHeight="1">
      <c r="A310" s="56"/>
      <c r="B310" s="51"/>
      <c r="C310" s="576"/>
      <c r="D310" s="220"/>
      <c r="E310" s="103"/>
      <c r="F310" s="104"/>
      <c r="G310" s="104"/>
      <c r="H310" s="372"/>
      <c r="I310" s="186" t="s">
        <v>517</v>
      </c>
      <c r="J310" s="250">
        <v>50000</v>
      </c>
      <c r="K310" s="135" t="s">
        <v>518</v>
      </c>
      <c r="L310" s="49" t="s">
        <v>143</v>
      </c>
      <c r="M310" s="444">
        <f>J310*1/1000</f>
        <v>50</v>
      </c>
      <c r="N310" s="527"/>
      <c r="O310" s="496"/>
      <c r="P310" s="496"/>
      <c r="Q310" s="496"/>
      <c r="R310" s="415"/>
      <c r="S310" s="496"/>
      <c r="T310" s="574"/>
      <c r="U310" s="523"/>
      <c r="V310" s="483">
        <f t="shared" si="25"/>
        <v>0</v>
      </c>
    </row>
    <row r="311" spans="1:22" ht="26.25" customHeight="1">
      <c r="A311" s="56"/>
      <c r="B311" s="51"/>
      <c r="C311" s="576"/>
      <c r="D311" s="220"/>
      <c r="E311" s="103"/>
      <c r="F311" s="104"/>
      <c r="G311" s="104"/>
      <c r="H311" s="372"/>
      <c r="I311" s="192" t="s">
        <v>786</v>
      </c>
      <c r="J311" s="250"/>
      <c r="K311" s="135"/>
      <c r="L311" s="49"/>
      <c r="M311" s="444">
        <f>360000/1000</f>
        <v>360</v>
      </c>
      <c r="N311" s="417">
        <f>SUM(N312,N323)</f>
        <v>0</v>
      </c>
      <c r="O311" s="415">
        <v>0</v>
      </c>
      <c r="P311" s="415">
        <v>0</v>
      </c>
      <c r="Q311" s="415">
        <v>360</v>
      </c>
      <c r="R311" s="415">
        <v>0</v>
      </c>
      <c r="S311" s="415">
        <v>0</v>
      </c>
      <c r="T311" s="416">
        <f>SUM(T312,T323,T340,T341,T342,T343)</f>
        <v>0</v>
      </c>
      <c r="U311" s="523"/>
      <c r="V311" s="483">
        <f t="shared" si="25"/>
        <v>360</v>
      </c>
    </row>
    <row r="312" spans="1:22" ht="26.25" customHeight="1">
      <c r="A312" s="56"/>
      <c r="B312" s="51"/>
      <c r="C312" s="576"/>
      <c r="D312" s="220"/>
      <c r="E312" s="103"/>
      <c r="F312" s="104"/>
      <c r="G312" s="104"/>
      <c r="H312" s="372"/>
      <c r="I312" s="239" t="s">
        <v>787</v>
      </c>
      <c r="J312" s="249"/>
      <c r="K312" s="134"/>
      <c r="L312" s="54"/>
      <c r="M312" s="443">
        <f>10000000/1000</f>
        <v>10000</v>
      </c>
      <c r="N312" s="417">
        <f>SUM(N313,N324)</f>
        <v>0</v>
      </c>
      <c r="O312" s="415">
        <v>0</v>
      </c>
      <c r="P312" s="415">
        <v>0</v>
      </c>
      <c r="Q312" s="415">
        <v>10000</v>
      </c>
      <c r="R312" s="415">
        <v>0</v>
      </c>
      <c r="S312" s="415">
        <v>0</v>
      </c>
      <c r="T312" s="416">
        <f>SUM(T313,T324,T341,T342,T343,T344)</f>
        <v>0</v>
      </c>
      <c r="U312" s="523"/>
      <c r="V312" s="483">
        <f t="shared" si="25"/>
        <v>10000</v>
      </c>
    </row>
    <row r="313" spans="1:22" ht="26.25" customHeight="1">
      <c r="A313" s="56"/>
      <c r="B313" s="51"/>
      <c r="C313" s="576"/>
      <c r="D313" s="220"/>
      <c r="E313" s="103"/>
      <c r="F313" s="104"/>
      <c r="G313" s="106"/>
      <c r="H313" s="376"/>
      <c r="I313" s="192" t="s">
        <v>788</v>
      </c>
      <c r="J313" s="249"/>
      <c r="K313" s="134"/>
      <c r="L313" s="54"/>
      <c r="M313" s="443">
        <f>25000000/1000</f>
        <v>25000</v>
      </c>
      <c r="N313" s="417">
        <f>SUM(N314,N325)</f>
        <v>0</v>
      </c>
      <c r="O313" s="415">
        <v>0</v>
      </c>
      <c r="P313" s="415">
        <v>0</v>
      </c>
      <c r="Q313" s="415">
        <v>25000</v>
      </c>
      <c r="R313" s="415">
        <v>0</v>
      </c>
      <c r="S313" s="415">
        <v>0</v>
      </c>
      <c r="T313" s="416">
        <f>SUM(T314,T325,T342,T343,T344,T345)</f>
        <v>0</v>
      </c>
      <c r="U313" s="523"/>
      <c r="V313" s="483">
        <f t="shared" si="25"/>
        <v>25000</v>
      </c>
    </row>
    <row r="314" spans="1:22" ht="26.25" customHeight="1">
      <c r="A314" s="56"/>
      <c r="B314" s="51"/>
      <c r="C314" s="576"/>
      <c r="D314" s="222" t="s">
        <v>177</v>
      </c>
      <c r="E314" s="101">
        <f>M314</f>
        <v>93537</v>
      </c>
      <c r="F314" s="102">
        <v>94701</v>
      </c>
      <c r="G314" s="313">
        <f>E314-F314</f>
        <v>-1164</v>
      </c>
      <c r="H314" s="314">
        <f>G314/F314</f>
        <v>-0.012291316881553521</v>
      </c>
      <c r="I314" s="279" t="s">
        <v>789</v>
      </c>
      <c r="J314" s="280"/>
      <c r="K314" s="136"/>
      <c r="L314" s="55"/>
      <c r="M314" s="531">
        <f>M315+M326+M343+M344+M345+M346</f>
        <v>93537</v>
      </c>
      <c r="N314" s="417">
        <f>SUM(N315,N326)</f>
        <v>0</v>
      </c>
      <c r="O314" s="415">
        <f>SUM(O315,O326,O343,O344,O345,O346)</f>
        <v>27807</v>
      </c>
      <c r="P314" s="415">
        <f>SUM(P315,P326,P343,P344,P345,P346)</f>
        <v>27806</v>
      </c>
      <c r="Q314" s="415">
        <f>SUM(Q315,Q326,Q343,Q344,Q345,Q346)</f>
        <v>36690</v>
      </c>
      <c r="R314" s="415">
        <f>SUM(R315,R326,R343,R344,R345,R346)</f>
        <v>1234</v>
      </c>
      <c r="S314" s="415">
        <f>SUM(S315,S326,S343,S344,S345,S346)</f>
        <v>0</v>
      </c>
      <c r="T314" s="416">
        <f>SUM(T315,T326,T343,T344,T345,T346)</f>
        <v>0</v>
      </c>
      <c r="U314" s="523"/>
      <c r="V314" s="483">
        <f t="shared" si="25"/>
        <v>93537</v>
      </c>
    </row>
    <row r="315" spans="1:22" ht="26.25" customHeight="1">
      <c r="A315" s="56"/>
      <c r="B315" s="51"/>
      <c r="C315" s="576"/>
      <c r="D315" s="220" t="s">
        <v>162</v>
      </c>
      <c r="E315" s="103"/>
      <c r="F315" s="104"/>
      <c r="G315" s="104"/>
      <c r="H315" s="372"/>
      <c r="I315" s="239" t="s">
        <v>696</v>
      </c>
      <c r="J315" s="249"/>
      <c r="K315" s="134"/>
      <c r="L315" s="54"/>
      <c r="M315" s="443">
        <f>M317+M318+M320+M322+M324</f>
        <v>5000</v>
      </c>
      <c r="N315" s="527">
        <v>0</v>
      </c>
      <c r="O315" s="415">
        <v>2500</v>
      </c>
      <c r="P315" s="415">
        <v>2500</v>
      </c>
      <c r="Q315" s="415">
        <v>0</v>
      </c>
      <c r="R315" s="415">
        <v>0</v>
      </c>
      <c r="S315" s="415">
        <v>0</v>
      </c>
      <c r="T315" s="416">
        <v>0</v>
      </c>
      <c r="U315" s="523"/>
      <c r="V315" s="483">
        <f t="shared" si="25"/>
        <v>5000</v>
      </c>
    </row>
    <row r="316" spans="1:22" ht="26.25" customHeight="1">
      <c r="A316" s="56"/>
      <c r="B316" s="51"/>
      <c r="C316" s="576"/>
      <c r="D316" s="220"/>
      <c r="E316" s="103"/>
      <c r="F316" s="104"/>
      <c r="G316" s="104"/>
      <c r="H316" s="372"/>
      <c r="I316" s="185" t="s">
        <v>792</v>
      </c>
      <c r="J316" s="249"/>
      <c r="K316" s="134"/>
      <c r="L316" s="54"/>
      <c r="M316" s="536"/>
      <c r="N316" s="527"/>
      <c r="O316" s="496"/>
      <c r="P316" s="496"/>
      <c r="Q316" s="496"/>
      <c r="R316" s="496"/>
      <c r="S316" s="496"/>
      <c r="T316" s="574"/>
      <c r="U316" s="523"/>
      <c r="V316" s="483">
        <f t="shared" si="25"/>
        <v>0</v>
      </c>
    </row>
    <row r="317" spans="1:22" ht="26.25" customHeight="1">
      <c r="A317" s="56"/>
      <c r="B317" s="51"/>
      <c r="C317" s="576"/>
      <c r="D317" s="220"/>
      <c r="E317" s="103"/>
      <c r="F317" s="104"/>
      <c r="G317" s="104"/>
      <c r="H317" s="372"/>
      <c r="I317" s="186" t="s">
        <v>793</v>
      </c>
      <c r="J317" s="250">
        <v>50000</v>
      </c>
      <c r="K317" s="135" t="s">
        <v>466</v>
      </c>
      <c r="L317" s="49" t="s">
        <v>143</v>
      </c>
      <c r="M317" s="444">
        <f>J317*2/1000</f>
        <v>100</v>
      </c>
      <c r="N317" s="527"/>
      <c r="O317" s="496"/>
      <c r="P317" s="496"/>
      <c r="Q317" s="496"/>
      <c r="R317" s="496"/>
      <c r="S317" s="496"/>
      <c r="T317" s="574"/>
      <c r="U317" s="523"/>
      <c r="V317" s="483">
        <f t="shared" si="25"/>
        <v>0</v>
      </c>
    </row>
    <row r="318" spans="1:22" ht="26.25" customHeight="1">
      <c r="A318" s="56"/>
      <c r="B318" s="51"/>
      <c r="C318" s="576"/>
      <c r="D318" s="219"/>
      <c r="E318" s="103"/>
      <c r="F318" s="104"/>
      <c r="G318" s="104"/>
      <c r="H318" s="372"/>
      <c r="I318" s="186" t="s">
        <v>814</v>
      </c>
      <c r="J318" s="250"/>
      <c r="K318" s="135"/>
      <c r="L318" s="49"/>
      <c r="M318" s="538">
        <f>M319</f>
        <v>1050</v>
      </c>
      <c r="N318" s="527"/>
      <c r="O318" s="496"/>
      <c r="P318" s="496"/>
      <c r="Q318" s="496"/>
      <c r="R318" s="496"/>
      <c r="S318" s="496"/>
      <c r="T318" s="574"/>
      <c r="U318" s="523"/>
      <c r="V318" s="483">
        <f t="shared" si="25"/>
        <v>0</v>
      </c>
    </row>
    <row r="319" spans="1:22" ht="26.25" customHeight="1">
      <c r="A319" s="56"/>
      <c r="B319" s="51"/>
      <c r="C319" s="576"/>
      <c r="D319" s="224"/>
      <c r="E319" s="103"/>
      <c r="F319" s="104"/>
      <c r="G319" s="104"/>
      <c r="H319" s="372"/>
      <c r="I319" s="186" t="s">
        <v>794</v>
      </c>
      <c r="J319" s="250">
        <v>50000</v>
      </c>
      <c r="K319" s="135" t="s">
        <v>791</v>
      </c>
      <c r="L319" s="49" t="s">
        <v>143</v>
      </c>
      <c r="M319" s="444">
        <f>J319*21/1000</f>
        <v>1050</v>
      </c>
      <c r="N319" s="527"/>
      <c r="O319" s="496"/>
      <c r="P319" s="496"/>
      <c r="Q319" s="496"/>
      <c r="R319" s="496"/>
      <c r="S319" s="496"/>
      <c r="T319" s="574"/>
      <c r="U319" s="523"/>
      <c r="V319" s="483">
        <f t="shared" si="25"/>
        <v>0</v>
      </c>
    </row>
    <row r="320" spans="1:22" ht="26.25" customHeight="1">
      <c r="A320" s="56"/>
      <c r="B320" s="51"/>
      <c r="C320" s="576"/>
      <c r="D320" s="224"/>
      <c r="E320" s="103"/>
      <c r="F320" s="104"/>
      <c r="G320" s="104"/>
      <c r="H320" s="372"/>
      <c r="I320" s="186" t="s">
        <v>795</v>
      </c>
      <c r="J320" s="250"/>
      <c r="K320" s="135"/>
      <c r="L320" s="49"/>
      <c r="M320" s="538">
        <f>M321</f>
        <v>50</v>
      </c>
      <c r="N320" s="527"/>
      <c r="O320" s="496"/>
      <c r="P320" s="496"/>
      <c r="Q320" s="496"/>
      <c r="R320" s="496"/>
      <c r="S320" s="496"/>
      <c r="T320" s="574"/>
      <c r="U320" s="523"/>
      <c r="V320" s="483">
        <f t="shared" si="25"/>
        <v>0</v>
      </c>
    </row>
    <row r="321" spans="1:22" ht="26.25" customHeight="1">
      <c r="A321" s="56"/>
      <c r="B321" s="51"/>
      <c r="C321" s="576"/>
      <c r="D321" s="224"/>
      <c r="E321" s="103"/>
      <c r="F321" s="104"/>
      <c r="G321" s="104"/>
      <c r="H321" s="372"/>
      <c r="I321" s="186" t="s">
        <v>796</v>
      </c>
      <c r="J321" s="250">
        <v>50000</v>
      </c>
      <c r="K321" s="135" t="s">
        <v>465</v>
      </c>
      <c r="L321" s="49" t="s">
        <v>143</v>
      </c>
      <c r="M321" s="444">
        <f>J321*1/1000</f>
        <v>50</v>
      </c>
      <c r="N321" s="527"/>
      <c r="O321" s="496"/>
      <c r="P321" s="496"/>
      <c r="Q321" s="496"/>
      <c r="R321" s="496"/>
      <c r="S321" s="496"/>
      <c r="T321" s="574"/>
      <c r="U321" s="523"/>
      <c r="V321" s="483">
        <f t="shared" si="25"/>
        <v>0</v>
      </c>
    </row>
    <row r="322" spans="1:22" ht="26.25" customHeight="1">
      <c r="A322" s="56"/>
      <c r="B322" s="51"/>
      <c r="C322" s="576"/>
      <c r="D322" s="224"/>
      <c r="E322" s="103"/>
      <c r="F322" s="104"/>
      <c r="G322" s="104"/>
      <c r="H322" s="372"/>
      <c r="I322" s="186" t="s">
        <v>797</v>
      </c>
      <c r="J322" s="250"/>
      <c r="K322" s="135"/>
      <c r="L322" s="49"/>
      <c r="M322" s="538">
        <f>M323</f>
        <v>1000</v>
      </c>
      <c r="N322" s="527"/>
      <c r="O322" s="496"/>
      <c r="P322" s="496"/>
      <c r="Q322" s="496"/>
      <c r="R322" s="496"/>
      <c r="S322" s="496"/>
      <c r="T322" s="574"/>
      <c r="U322" s="523"/>
      <c r="V322" s="483">
        <f t="shared" si="25"/>
        <v>0</v>
      </c>
    </row>
    <row r="323" spans="1:22" ht="26.25" customHeight="1">
      <c r="A323" s="56"/>
      <c r="B323" s="52"/>
      <c r="C323" s="577"/>
      <c r="D323" s="587"/>
      <c r="E323" s="109"/>
      <c r="F323" s="110"/>
      <c r="G323" s="110"/>
      <c r="H323" s="374"/>
      <c r="I323" s="193" t="s">
        <v>798</v>
      </c>
      <c r="J323" s="261">
        <v>250000</v>
      </c>
      <c r="K323" s="139" t="s">
        <v>799</v>
      </c>
      <c r="L323" s="50" t="s">
        <v>143</v>
      </c>
      <c r="M323" s="461">
        <f>J323*4/1000</f>
        <v>1000</v>
      </c>
      <c r="N323" s="528"/>
      <c r="O323" s="504"/>
      <c r="P323" s="504"/>
      <c r="Q323" s="504"/>
      <c r="R323" s="504"/>
      <c r="S323" s="504"/>
      <c r="T323" s="575"/>
      <c r="U323" s="523"/>
      <c r="V323" s="483">
        <f t="shared" si="25"/>
        <v>0</v>
      </c>
    </row>
    <row r="324" spans="1:22" ht="26.25" customHeight="1">
      <c r="A324" s="56"/>
      <c r="B324" s="57"/>
      <c r="C324" s="578"/>
      <c r="D324" s="588"/>
      <c r="E324" s="304"/>
      <c r="F324" s="305"/>
      <c r="G324" s="305"/>
      <c r="H324" s="375"/>
      <c r="I324" s="306" t="s">
        <v>815</v>
      </c>
      <c r="J324" s="307"/>
      <c r="K324" s="309"/>
      <c r="L324" s="242"/>
      <c r="M324" s="542">
        <f>M325</f>
        <v>2800</v>
      </c>
      <c r="N324" s="583"/>
      <c r="O324" s="584"/>
      <c r="P324" s="584"/>
      <c r="Q324" s="584"/>
      <c r="R324" s="584"/>
      <c r="S324" s="584"/>
      <c r="T324" s="585"/>
      <c r="U324" s="523"/>
      <c r="V324" s="483">
        <f t="shared" si="25"/>
        <v>0</v>
      </c>
    </row>
    <row r="325" spans="1:22" ht="26.25" customHeight="1">
      <c r="A325" s="56"/>
      <c r="B325" s="51"/>
      <c r="C325" s="576"/>
      <c r="D325" s="224"/>
      <c r="E325" s="103"/>
      <c r="F325" s="104"/>
      <c r="G325" s="104"/>
      <c r="H325" s="372"/>
      <c r="I325" s="186" t="s">
        <v>816</v>
      </c>
      <c r="J325" s="250">
        <v>2800000</v>
      </c>
      <c r="K325" s="135" t="s">
        <v>465</v>
      </c>
      <c r="L325" s="49" t="s">
        <v>143</v>
      </c>
      <c r="M325" s="444">
        <f>J325*1/1000</f>
        <v>2800</v>
      </c>
      <c r="N325" s="527"/>
      <c r="O325" s="496"/>
      <c r="P325" s="496"/>
      <c r="Q325" s="496"/>
      <c r="R325" s="496"/>
      <c r="S325" s="496"/>
      <c r="T325" s="574"/>
      <c r="U325" s="523"/>
      <c r="V325" s="483">
        <f t="shared" si="25"/>
        <v>0</v>
      </c>
    </row>
    <row r="326" spans="1:22" ht="26.25" customHeight="1">
      <c r="A326" s="56"/>
      <c r="B326" s="51"/>
      <c r="C326" s="576"/>
      <c r="D326" s="224"/>
      <c r="E326" s="103"/>
      <c r="F326" s="104"/>
      <c r="G326" s="104"/>
      <c r="H326" s="372"/>
      <c r="I326" s="192" t="s">
        <v>382</v>
      </c>
      <c r="J326" s="260"/>
      <c r="K326" s="135"/>
      <c r="L326" s="49"/>
      <c r="M326" s="444">
        <f>SUM(M328:M342)</f>
        <v>36690</v>
      </c>
      <c r="N326" s="527">
        <v>0</v>
      </c>
      <c r="O326" s="415">
        <v>0</v>
      </c>
      <c r="P326" s="415">
        <v>0</v>
      </c>
      <c r="Q326" s="415">
        <v>36690</v>
      </c>
      <c r="R326" s="415">
        <v>0</v>
      </c>
      <c r="S326" s="415">
        <v>0</v>
      </c>
      <c r="T326" s="416">
        <v>0</v>
      </c>
      <c r="U326" s="523"/>
      <c r="V326" s="483">
        <f t="shared" si="25"/>
        <v>36690</v>
      </c>
    </row>
    <row r="327" spans="1:22" ht="26.25" customHeight="1">
      <c r="A327" s="56"/>
      <c r="B327" s="51"/>
      <c r="C327" s="576"/>
      <c r="D327" s="224"/>
      <c r="E327" s="103"/>
      <c r="F327" s="104"/>
      <c r="G327" s="104"/>
      <c r="H327" s="372"/>
      <c r="I327" s="186" t="s">
        <v>800</v>
      </c>
      <c r="J327" s="135"/>
      <c r="K327" s="135"/>
      <c r="L327" s="49"/>
      <c r="M327" s="444"/>
      <c r="N327" s="527"/>
      <c r="O327" s="496"/>
      <c r="P327" s="496"/>
      <c r="Q327" s="496"/>
      <c r="R327" s="496"/>
      <c r="S327" s="496"/>
      <c r="T327" s="574"/>
      <c r="U327" s="523"/>
      <c r="V327" s="483">
        <f aca="true" t="shared" si="29" ref="V327:V390">SUM(N327:T327)</f>
        <v>0</v>
      </c>
    </row>
    <row r="328" spans="1:22" ht="26.25" customHeight="1">
      <c r="A328" s="56"/>
      <c r="B328" s="51"/>
      <c r="C328" s="576"/>
      <c r="D328" s="224"/>
      <c r="E328" s="103"/>
      <c r="F328" s="104"/>
      <c r="G328" s="104"/>
      <c r="H328" s="372"/>
      <c r="I328" s="185" t="s">
        <v>806</v>
      </c>
      <c r="J328" s="134">
        <v>50000</v>
      </c>
      <c r="K328" s="134" t="s">
        <v>465</v>
      </c>
      <c r="L328" s="54" t="s">
        <v>143</v>
      </c>
      <c r="M328" s="443">
        <f>J328*1/1000</f>
        <v>50</v>
      </c>
      <c r="N328" s="625"/>
      <c r="O328" s="626"/>
      <c r="P328" s="626"/>
      <c r="Q328" s="406"/>
      <c r="R328" s="626"/>
      <c r="S328" s="626"/>
      <c r="T328" s="627"/>
      <c r="U328" s="523"/>
      <c r="V328" s="483">
        <f t="shared" si="29"/>
        <v>0</v>
      </c>
    </row>
    <row r="329" spans="1:22" ht="26.25" customHeight="1">
      <c r="A329" s="56"/>
      <c r="B329" s="51"/>
      <c r="C329" s="576"/>
      <c r="D329" s="224"/>
      <c r="E329" s="103"/>
      <c r="F329" s="104"/>
      <c r="G329" s="104"/>
      <c r="H329" s="372"/>
      <c r="I329" s="186" t="s">
        <v>801</v>
      </c>
      <c r="J329" s="135"/>
      <c r="K329" s="135"/>
      <c r="L329" s="49"/>
      <c r="M329" s="444"/>
      <c r="N329" s="527"/>
      <c r="O329" s="496"/>
      <c r="P329" s="496"/>
      <c r="Q329" s="415"/>
      <c r="R329" s="496"/>
      <c r="S329" s="496"/>
      <c r="T329" s="574"/>
      <c r="U329" s="523"/>
      <c r="V329" s="483">
        <f t="shared" si="29"/>
        <v>0</v>
      </c>
    </row>
    <row r="330" spans="1:22" ht="26.25" customHeight="1">
      <c r="A330" s="56"/>
      <c r="B330" s="51"/>
      <c r="C330" s="576"/>
      <c r="D330" s="224"/>
      <c r="E330" s="103"/>
      <c r="F330" s="104"/>
      <c r="G330" s="104"/>
      <c r="H330" s="372"/>
      <c r="I330" s="186" t="s">
        <v>270</v>
      </c>
      <c r="J330" s="135">
        <v>50000</v>
      </c>
      <c r="K330" s="135" t="s">
        <v>466</v>
      </c>
      <c r="L330" s="49" t="s">
        <v>143</v>
      </c>
      <c r="M330" s="444">
        <f>J330*2/1000</f>
        <v>100</v>
      </c>
      <c r="N330" s="527"/>
      <c r="O330" s="496"/>
      <c r="P330" s="496"/>
      <c r="Q330" s="415"/>
      <c r="R330" s="496"/>
      <c r="S330" s="496"/>
      <c r="T330" s="574"/>
      <c r="U330" s="523"/>
      <c r="V330" s="483">
        <f t="shared" si="29"/>
        <v>0</v>
      </c>
    </row>
    <row r="331" spans="1:22" ht="26.25" customHeight="1">
      <c r="A331" s="56"/>
      <c r="B331" s="51"/>
      <c r="C331" s="576"/>
      <c r="D331" s="224"/>
      <c r="E331" s="103"/>
      <c r="F331" s="104"/>
      <c r="G331" s="104"/>
      <c r="H331" s="372"/>
      <c r="I331" s="186" t="s">
        <v>802</v>
      </c>
      <c r="J331" s="135"/>
      <c r="K331" s="135"/>
      <c r="L331" s="49"/>
      <c r="M331" s="444"/>
      <c r="N331" s="527"/>
      <c r="O331" s="496"/>
      <c r="P331" s="496"/>
      <c r="Q331" s="415"/>
      <c r="R331" s="496"/>
      <c r="S331" s="496"/>
      <c r="T331" s="574"/>
      <c r="U331" s="523"/>
      <c r="V331" s="483">
        <f t="shared" si="29"/>
        <v>0</v>
      </c>
    </row>
    <row r="332" spans="1:22" ht="26.25" customHeight="1">
      <c r="A332" s="56"/>
      <c r="B332" s="51"/>
      <c r="C332" s="576"/>
      <c r="D332" s="224"/>
      <c r="E332" s="103"/>
      <c r="F332" s="104"/>
      <c r="G332" s="104"/>
      <c r="H332" s="372"/>
      <c r="I332" s="186" t="s">
        <v>807</v>
      </c>
      <c r="J332" s="135">
        <v>10000</v>
      </c>
      <c r="K332" s="135" t="s">
        <v>813</v>
      </c>
      <c r="L332" s="49" t="s">
        <v>143</v>
      </c>
      <c r="M332" s="444">
        <f>J332*12/1000</f>
        <v>120</v>
      </c>
      <c r="N332" s="527"/>
      <c r="O332" s="496"/>
      <c r="P332" s="496"/>
      <c r="Q332" s="415"/>
      <c r="R332" s="496"/>
      <c r="S332" s="496"/>
      <c r="T332" s="574"/>
      <c r="U332" s="523"/>
      <c r="V332" s="483">
        <f t="shared" si="29"/>
        <v>0</v>
      </c>
    </row>
    <row r="333" spans="1:22" ht="26.25" customHeight="1">
      <c r="A333" s="56"/>
      <c r="B333" s="51"/>
      <c r="C333" s="576"/>
      <c r="D333" s="224"/>
      <c r="E333" s="103"/>
      <c r="F333" s="104"/>
      <c r="G333" s="104"/>
      <c r="H333" s="372"/>
      <c r="I333" s="186" t="s">
        <v>803</v>
      </c>
      <c r="J333" s="135"/>
      <c r="K333" s="135"/>
      <c r="L333" s="49"/>
      <c r="M333" s="444"/>
      <c r="N333" s="527"/>
      <c r="O333" s="496"/>
      <c r="P333" s="496"/>
      <c r="Q333" s="415"/>
      <c r="R333" s="496"/>
      <c r="S333" s="496"/>
      <c r="T333" s="574"/>
      <c r="U333" s="523"/>
      <c r="V333" s="483">
        <f t="shared" si="29"/>
        <v>0</v>
      </c>
    </row>
    <row r="334" spans="1:22" ht="26.25" customHeight="1">
      <c r="A334" s="56"/>
      <c r="B334" s="51"/>
      <c r="C334" s="576"/>
      <c r="D334" s="224"/>
      <c r="E334" s="103"/>
      <c r="F334" s="104"/>
      <c r="G334" s="104"/>
      <c r="H334" s="372"/>
      <c r="I334" s="186" t="s">
        <v>806</v>
      </c>
      <c r="J334" s="135">
        <v>100000</v>
      </c>
      <c r="K334" s="135" t="s">
        <v>466</v>
      </c>
      <c r="L334" s="49" t="s">
        <v>143</v>
      </c>
      <c r="M334" s="444">
        <f>J334*2/1000</f>
        <v>200</v>
      </c>
      <c r="N334" s="527"/>
      <c r="O334" s="496"/>
      <c r="P334" s="496"/>
      <c r="Q334" s="415"/>
      <c r="R334" s="496"/>
      <c r="S334" s="496"/>
      <c r="T334" s="574"/>
      <c r="U334" s="523"/>
      <c r="V334" s="483">
        <f t="shared" si="29"/>
        <v>0</v>
      </c>
    </row>
    <row r="335" spans="1:22" ht="26.25" customHeight="1">
      <c r="A335" s="56"/>
      <c r="B335" s="51"/>
      <c r="C335" s="576"/>
      <c r="D335" s="224"/>
      <c r="E335" s="103"/>
      <c r="F335" s="104"/>
      <c r="G335" s="104"/>
      <c r="H335" s="372"/>
      <c r="I335" s="186" t="s">
        <v>808</v>
      </c>
      <c r="J335" s="135">
        <v>100000</v>
      </c>
      <c r="K335" s="135" t="s">
        <v>465</v>
      </c>
      <c r="L335" s="49" t="s">
        <v>143</v>
      </c>
      <c r="M335" s="444">
        <f>J335*1/1000</f>
        <v>100</v>
      </c>
      <c r="N335" s="527"/>
      <c r="O335" s="496"/>
      <c r="P335" s="496"/>
      <c r="Q335" s="415"/>
      <c r="R335" s="496"/>
      <c r="S335" s="496"/>
      <c r="T335" s="574"/>
      <c r="U335" s="523"/>
      <c r="V335" s="483">
        <f t="shared" si="29"/>
        <v>0</v>
      </c>
    </row>
    <row r="336" spans="1:22" ht="26.25" customHeight="1">
      <c r="A336" s="56"/>
      <c r="B336" s="51"/>
      <c r="C336" s="576"/>
      <c r="D336" s="224"/>
      <c r="E336" s="103"/>
      <c r="F336" s="104"/>
      <c r="G336" s="104"/>
      <c r="H336" s="372"/>
      <c r="I336" s="186" t="s">
        <v>804</v>
      </c>
      <c r="J336" s="135"/>
      <c r="K336" s="135"/>
      <c r="L336" s="49"/>
      <c r="M336" s="444"/>
      <c r="N336" s="527"/>
      <c r="O336" s="496"/>
      <c r="P336" s="496"/>
      <c r="Q336" s="415"/>
      <c r="R336" s="496"/>
      <c r="S336" s="496"/>
      <c r="T336" s="574"/>
      <c r="U336" s="523"/>
      <c r="V336" s="483">
        <f t="shared" si="29"/>
        <v>0</v>
      </c>
    </row>
    <row r="337" spans="1:22" ht="26.25" customHeight="1">
      <c r="A337" s="56"/>
      <c r="B337" s="51"/>
      <c r="C337" s="576"/>
      <c r="D337" s="224"/>
      <c r="E337" s="103"/>
      <c r="F337" s="104"/>
      <c r="G337" s="104"/>
      <c r="H337" s="372"/>
      <c r="I337" s="186" t="s">
        <v>809</v>
      </c>
      <c r="J337" s="135">
        <v>50000</v>
      </c>
      <c r="K337" s="135" t="s">
        <v>465</v>
      </c>
      <c r="L337" s="49" t="s">
        <v>143</v>
      </c>
      <c r="M337" s="444">
        <f>J337*1/1000</f>
        <v>50</v>
      </c>
      <c r="N337" s="527"/>
      <c r="O337" s="496"/>
      <c r="P337" s="496"/>
      <c r="Q337" s="415"/>
      <c r="R337" s="496"/>
      <c r="S337" s="496"/>
      <c r="T337" s="574"/>
      <c r="U337" s="523"/>
      <c r="V337" s="483">
        <f t="shared" si="29"/>
        <v>0</v>
      </c>
    </row>
    <row r="338" spans="1:22" ht="26.25" customHeight="1">
      <c r="A338" s="56"/>
      <c r="B338" s="51"/>
      <c r="C338" s="576"/>
      <c r="D338" s="224"/>
      <c r="E338" s="103"/>
      <c r="F338" s="104"/>
      <c r="G338" s="104"/>
      <c r="H338" s="372"/>
      <c r="I338" s="186" t="s">
        <v>206</v>
      </c>
      <c r="J338" s="135"/>
      <c r="K338" s="135"/>
      <c r="L338" s="49"/>
      <c r="M338" s="444"/>
      <c r="N338" s="527"/>
      <c r="O338" s="496"/>
      <c r="P338" s="496"/>
      <c r="Q338" s="415"/>
      <c r="R338" s="496"/>
      <c r="S338" s="496"/>
      <c r="T338" s="574"/>
      <c r="U338" s="523"/>
      <c r="V338" s="483">
        <f t="shared" si="29"/>
        <v>0</v>
      </c>
    </row>
    <row r="339" spans="1:22" ht="26.25" customHeight="1">
      <c r="A339" s="56"/>
      <c r="B339" s="52"/>
      <c r="C339" s="577"/>
      <c r="D339" s="587"/>
      <c r="E339" s="109"/>
      <c r="F339" s="110"/>
      <c r="G339" s="110"/>
      <c r="H339" s="374"/>
      <c r="I339" s="193" t="s">
        <v>810</v>
      </c>
      <c r="J339" s="139">
        <v>2150000</v>
      </c>
      <c r="K339" s="139" t="s">
        <v>411</v>
      </c>
      <c r="L339" s="50" t="s">
        <v>143</v>
      </c>
      <c r="M339" s="461">
        <f>J339*12/1000</f>
        <v>25800</v>
      </c>
      <c r="N339" s="528"/>
      <c r="O339" s="504"/>
      <c r="P339" s="504"/>
      <c r="Q339" s="432"/>
      <c r="R339" s="504"/>
      <c r="S339" s="504"/>
      <c r="T339" s="575"/>
      <c r="U339" s="523"/>
      <c r="V339" s="483">
        <f t="shared" si="29"/>
        <v>0</v>
      </c>
    </row>
    <row r="340" spans="1:22" ht="26.25" customHeight="1">
      <c r="A340" s="56"/>
      <c r="B340" s="57"/>
      <c r="C340" s="578"/>
      <c r="D340" s="588"/>
      <c r="E340" s="304"/>
      <c r="F340" s="305"/>
      <c r="G340" s="305"/>
      <c r="H340" s="375"/>
      <c r="I340" s="306" t="s">
        <v>811</v>
      </c>
      <c r="J340" s="309">
        <v>850000</v>
      </c>
      <c r="K340" s="309" t="s">
        <v>411</v>
      </c>
      <c r="L340" s="242" t="s">
        <v>143</v>
      </c>
      <c r="M340" s="514">
        <f>J340*12/1000</f>
        <v>10200</v>
      </c>
      <c r="N340" s="583"/>
      <c r="O340" s="584"/>
      <c r="P340" s="584"/>
      <c r="Q340" s="469"/>
      <c r="R340" s="584"/>
      <c r="S340" s="584"/>
      <c r="T340" s="585"/>
      <c r="U340" s="523"/>
      <c r="V340" s="483">
        <f t="shared" si="29"/>
        <v>0</v>
      </c>
    </row>
    <row r="341" spans="1:22" ht="26.25" customHeight="1">
      <c r="A341" s="56"/>
      <c r="B341" s="51"/>
      <c r="C341" s="576"/>
      <c r="D341" s="224"/>
      <c r="E341" s="103"/>
      <c r="F341" s="104"/>
      <c r="G341" s="104"/>
      <c r="H341" s="372"/>
      <c r="I341" s="187" t="s">
        <v>805</v>
      </c>
      <c r="J341" s="136"/>
      <c r="K341" s="136"/>
      <c r="L341" s="55"/>
      <c r="M341" s="442"/>
      <c r="N341" s="527"/>
      <c r="O341" s="496"/>
      <c r="P341" s="496"/>
      <c r="Q341" s="496"/>
      <c r="R341" s="496"/>
      <c r="S341" s="496"/>
      <c r="T341" s="574"/>
      <c r="U341" s="523"/>
      <c r="V341" s="483">
        <f t="shared" si="29"/>
        <v>0</v>
      </c>
    </row>
    <row r="342" spans="1:22" ht="26.25" customHeight="1">
      <c r="A342" s="56"/>
      <c r="B342" s="51"/>
      <c r="C342" s="576"/>
      <c r="D342" s="224"/>
      <c r="E342" s="103"/>
      <c r="F342" s="104"/>
      <c r="G342" s="104"/>
      <c r="H342" s="372"/>
      <c r="I342" s="185" t="s">
        <v>812</v>
      </c>
      <c r="J342" s="249">
        <v>70000</v>
      </c>
      <c r="K342" s="134" t="s">
        <v>465</v>
      </c>
      <c r="L342" s="54" t="s">
        <v>143</v>
      </c>
      <c r="M342" s="443">
        <f>J342*1/1000</f>
        <v>70</v>
      </c>
      <c r="N342" s="527"/>
      <c r="O342" s="496"/>
      <c r="P342" s="496"/>
      <c r="Q342" s="415"/>
      <c r="R342" s="496"/>
      <c r="S342" s="496"/>
      <c r="T342" s="574"/>
      <c r="U342" s="523"/>
      <c r="V342" s="483">
        <f t="shared" si="29"/>
        <v>0</v>
      </c>
    </row>
    <row r="343" spans="1:22" ht="26.25" customHeight="1">
      <c r="A343" s="56"/>
      <c r="B343" s="51"/>
      <c r="C343" s="576"/>
      <c r="D343" s="224"/>
      <c r="E343" s="103"/>
      <c r="F343" s="104"/>
      <c r="G343" s="104"/>
      <c r="H343" s="372"/>
      <c r="I343" s="192" t="s">
        <v>790</v>
      </c>
      <c r="J343" s="260"/>
      <c r="K343" s="135"/>
      <c r="L343" s="49"/>
      <c r="M343" s="444">
        <v>18291</v>
      </c>
      <c r="N343" s="527">
        <v>0</v>
      </c>
      <c r="O343" s="415">
        <v>9146</v>
      </c>
      <c r="P343" s="415">
        <v>9145</v>
      </c>
      <c r="Q343" s="415">
        <v>0</v>
      </c>
      <c r="R343" s="415">
        <v>0</v>
      </c>
      <c r="S343" s="415">
        <v>0</v>
      </c>
      <c r="T343" s="416">
        <v>0</v>
      </c>
      <c r="U343" s="523"/>
      <c r="V343" s="483">
        <f t="shared" si="29"/>
        <v>18291</v>
      </c>
    </row>
    <row r="344" spans="1:22" ht="26.25" customHeight="1">
      <c r="A344" s="56"/>
      <c r="B344" s="51"/>
      <c r="C344" s="576"/>
      <c r="D344" s="224"/>
      <c r="E344" s="103"/>
      <c r="F344" s="104"/>
      <c r="G344" s="104"/>
      <c r="H344" s="372"/>
      <c r="I344" s="192" t="s">
        <v>383</v>
      </c>
      <c r="J344" s="260"/>
      <c r="K344" s="135"/>
      <c r="L344" s="49"/>
      <c r="M344" s="444">
        <v>19200</v>
      </c>
      <c r="N344" s="527">
        <v>0</v>
      </c>
      <c r="O344" s="415">
        <v>9600</v>
      </c>
      <c r="P344" s="415">
        <v>9600</v>
      </c>
      <c r="Q344" s="415">
        <v>0</v>
      </c>
      <c r="R344" s="415">
        <v>0</v>
      </c>
      <c r="S344" s="415">
        <v>0</v>
      </c>
      <c r="T344" s="416">
        <v>0</v>
      </c>
      <c r="U344" s="523"/>
      <c r="V344" s="483">
        <f t="shared" si="29"/>
        <v>19200</v>
      </c>
    </row>
    <row r="345" spans="1:22" ht="26.25" customHeight="1">
      <c r="A345" s="56"/>
      <c r="B345" s="51"/>
      <c r="C345" s="576"/>
      <c r="D345" s="224"/>
      <c r="E345" s="103"/>
      <c r="F345" s="104"/>
      <c r="G345" s="104"/>
      <c r="H345" s="372"/>
      <c r="I345" s="192" t="s">
        <v>835</v>
      </c>
      <c r="J345" s="260"/>
      <c r="K345" s="135"/>
      <c r="L345" s="49"/>
      <c r="M345" s="444">
        <v>13122</v>
      </c>
      <c r="N345" s="527">
        <v>0</v>
      </c>
      <c r="O345" s="415">
        <v>6561</v>
      </c>
      <c r="P345" s="415">
        <v>6561</v>
      </c>
      <c r="Q345" s="415">
        <v>0</v>
      </c>
      <c r="R345" s="415">
        <v>0</v>
      </c>
      <c r="S345" s="415">
        <v>0</v>
      </c>
      <c r="T345" s="416">
        <v>0</v>
      </c>
      <c r="U345" s="523"/>
      <c r="V345" s="483">
        <f t="shared" si="29"/>
        <v>13122</v>
      </c>
    </row>
    <row r="346" spans="1:22" ht="26.25" customHeight="1">
      <c r="A346" s="56"/>
      <c r="B346" s="51"/>
      <c r="C346" s="576"/>
      <c r="D346" s="224"/>
      <c r="E346" s="103"/>
      <c r="F346" s="104"/>
      <c r="G346" s="104"/>
      <c r="H346" s="372"/>
      <c r="I346" s="238" t="s">
        <v>523</v>
      </c>
      <c r="J346" s="255"/>
      <c r="K346" s="140"/>
      <c r="L346" s="28"/>
      <c r="M346" s="447">
        <f>M347+M350</f>
        <v>1234</v>
      </c>
      <c r="N346" s="527">
        <v>0</v>
      </c>
      <c r="O346" s="415">
        <v>0</v>
      </c>
      <c r="P346" s="415">
        <v>0</v>
      </c>
      <c r="Q346" s="415">
        <v>0</v>
      </c>
      <c r="R346" s="415">
        <v>1234</v>
      </c>
      <c r="S346" s="415">
        <v>0</v>
      </c>
      <c r="T346" s="416">
        <v>0</v>
      </c>
      <c r="U346" s="523"/>
      <c r="V346" s="483">
        <f t="shared" si="29"/>
        <v>1234</v>
      </c>
    </row>
    <row r="347" spans="1:22" ht="26.25" customHeight="1">
      <c r="A347" s="56"/>
      <c r="B347" s="51"/>
      <c r="C347" s="576"/>
      <c r="D347" s="224"/>
      <c r="E347" s="103"/>
      <c r="F347" s="104"/>
      <c r="G347" s="104"/>
      <c r="H347" s="372"/>
      <c r="I347" s="185" t="s">
        <v>524</v>
      </c>
      <c r="J347" s="249"/>
      <c r="K347" s="134"/>
      <c r="L347" s="54"/>
      <c r="M347" s="536">
        <f>SUM(M348:M349)</f>
        <v>760</v>
      </c>
      <c r="N347" s="527"/>
      <c r="O347" s="496"/>
      <c r="P347" s="496"/>
      <c r="Q347" s="496"/>
      <c r="R347" s="496"/>
      <c r="S347" s="496"/>
      <c r="T347" s="574"/>
      <c r="U347" s="523"/>
      <c r="V347" s="483">
        <f t="shared" si="29"/>
        <v>0</v>
      </c>
    </row>
    <row r="348" spans="1:22" ht="26.25" customHeight="1">
      <c r="A348" s="56"/>
      <c r="B348" s="51"/>
      <c r="C348" s="576"/>
      <c r="D348" s="224"/>
      <c r="E348" s="103"/>
      <c r="F348" s="104"/>
      <c r="G348" s="104"/>
      <c r="H348" s="372"/>
      <c r="I348" s="186" t="s">
        <v>530</v>
      </c>
      <c r="J348" s="250">
        <v>30000</v>
      </c>
      <c r="K348" s="135" t="s">
        <v>391</v>
      </c>
      <c r="L348" s="49" t="s">
        <v>143</v>
      </c>
      <c r="M348" s="444">
        <f>J348*12/1000</f>
        <v>360</v>
      </c>
      <c r="N348" s="527"/>
      <c r="O348" s="496"/>
      <c r="P348" s="496"/>
      <c r="Q348" s="496"/>
      <c r="R348" s="415"/>
      <c r="S348" s="496"/>
      <c r="T348" s="574"/>
      <c r="U348" s="523"/>
      <c r="V348" s="483">
        <f t="shared" si="29"/>
        <v>0</v>
      </c>
    </row>
    <row r="349" spans="1:22" ht="26.25" customHeight="1">
      <c r="A349" s="56"/>
      <c r="B349" s="51"/>
      <c r="C349" s="576"/>
      <c r="D349" s="224"/>
      <c r="E349" s="103"/>
      <c r="F349" s="104"/>
      <c r="G349" s="104"/>
      <c r="H349" s="372"/>
      <c r="I349" s="186" t="s">
        <v>531</v>
      </c>
      <c r="J349" s="250"/>
      <c r="K349" s="135"/>
      <c r="L349" s="49"/>
      <c r="M349" s="444">
        <f>400000/1000</f>
        <v>400</v>
      </c>
      <c r="N349" s="527"/>
      <c r="O349" s="496"/>
      <c r="P349" s="496"/>
      <c r="Q349" s="496"/>
      <c r="R349" s="415"/>
      <c r="S349" s="496"/>
      <c r="T349" s="574"/>
      <c r="U349" s="523"/>
      <c r="V349" s="483">
        <f t="shared" si="29"/>
        <v>0</v>
      </c>
    </row>
    <row r="350" spans="1:22" ht="26.25" customHeight="1">
      <c r="A350" s="56"/>
      <c r="B350" s="51"/>
      <c r="C350" s="576"/>
      <c r="D350" s="224"/>
      <c r="E350" s="103"/>
      <c r="F350" s="104"/>
      <c r="G350" s="104"/>
      <c r="H350" s="372"/>
      <c r="I350" s="186" t="s">
        <v>525</v>
      </c>
      <c r="J350" s="250"/>
      <c r="K350" s="135"/>
      <c r="L350" s="49"/>
      <c r="M350" s="536">
        <f>SUM(M351:M352)</f>
        <v>474</v>
      </c>
      <c r="N350" s="527"/>
      <c r="O350" s="496"/>
      <c r="P350" s="496"/>
      <c r="Q350" s="496"/>
      <c r="R350" s="415"/>
      <c r="S350" s="496"/>
      <c r="T350" s="574"/>
      <c r="U350" s="523"/>
      <c r="V350" s="483">
        <f t="shared" si="29"/>
        <v>0</v>
      </c>
    </row>
    <row r="351" spans="1:22" ht="26.25" customHeight="1">
      <c r="A351" s="56"/>
      <c r="B351" s="51"/>
      <c r="C351" s="576"/>
      <c r="D351" s="224"/>
      <c r="E351" s="103"/>
      <c r="F351" s="104"/>
      <c r="G351" s="104"/>
      <c r="H351" s="372"/>
      <c r="I351" s="186" t="s">
        <v>528</v>
      </c>
      <c r="J351" s="250">
        <v>50000</v>
      </c>
      <c r="K351" s="135" t="s">
        <v>384</v>
      </c>
      <c r="L351" s="49" t="s">
        <v>143</v>
      </c>
      <c r="M351" s="444">
        <f>J351*6/1000</f>
        <v>300</v>
      </c>
      <c r="N351" s="527"/>
      <c r="O351" s="496"/>
      <c r="P351" s="496"/>
      <c r="Q351" s="496"/>
      <c r="R351" s="415"/>
      <c r="S351" s="496"/>
      <c r="T351" s="574"/>
      <c r="U351" s="523"/>
      <c r="V351" s="483">
        <f t="shared" si="29"/>
        <v>0</v>
      </c>
    </row>
    <row r="352" spans="1:22" ht="26.25" customHeight="1">
      <c r="A352" s="56"/>
      <c r="B352" s="297"/>
      <c r="C352" s="579"/>
      <c r="D352" s="628"/>
      <c r="E352" s="105"/>
      <c r="F352" s="106"/>
      <c r="G352" s="106"/>
      <c r="H352" s="376"/>
      <c r="I352" s="186" t="s">
        <v>529</v>
      </c>
      <c r="J352" s="250">
        <v>29000</v>
      </c>
      <c r="K352" s="135" t="s">
        <v>649</v>
      </c>
      <c r="L352" s="49" t="s">
        <v>143</v>
      </c>
      <c r="M352" s="444">
        <f>J352*6/1000</f>
        <v>174</v>
      </c>
      <c r="N352" s="527"/>
      <c r="O352" s="496"/>
      <c r="P352" s="496"/>
      <c r="Q352" s="496"/>
      <c r="R352" s="415"/>
      <c r="S352" s="496"/>
      <c r="T352" s="574"/>
      <c r="U352" s="523"/>
      <c r="V352" s="483">
        <f t="shared" si="29"/>
        <v>0</v>
      </c>
    </row>
    <row r="353" spans="1:22" ht="26.25" customHeight="1">
      <c r="A353" s="56"/>
      <c r="B353" s="51"/>
      <c r="C353" s="576"/>
      <c r="D353" s="219" t="s">
        <v>178</v>
      </c>
      <c r="E353" s="103">
        <f>M353</f>
        <v>31000</v>
      </c>
      <c r="F353" s="104">
        <v>39687</v>
      </c>
      <c r="G353" s="313">
        <f>E353-F353</f>
        <v>-8687</v>
      </c>
      <c r="H353" s="314">
        <f>G353/F353</f>
        <v>-0.2188877970116159</v>
      </c>
      <c r="I353" s="238" t="s">
        <v>836</v>
      </c>
      <c r="J353" s="258"/>
      <c r="K353" s="140"/>
      <c r="L353" s="28"/>
      <c r="M353" s="537">
        <f>M354</f>
        <v>31000</v>
      </c>
      <c r="N353" s="625">
        <v>0</v>
      </c>
      <c r="O353" s="406">
        <v>7185</v>
      </c>
      <c r="P353" s="406">
        <v>7185</v>
      </c>
      <c r="Q353" s="406">
        <v>16630</v>
      </c>
      <c r="R353" s="406">
        <v>0</v>
      </c>
      <c r="S353" s="406">
        <v>0</v>
      </c>
      <c r="T353" s="407">
        <v>0</v>
      </c>
      <c r="U353" s="523"/>
      <c r="V353" s="483">
        <f t="shared" si="29"/>
        <v>31000</v>
      </c>
    </row>
    <row r="354" spans="1:22" ht="26.25" customHeight="1">
      <c r="A354" s="56"/>
      <c r="B354" s="51"/>
      <c r="C354" s="576"/>
      <c r="D354" s="220" t="s">
        <v>163</v>
      </c>
      <c r="E354" s="103"/>
      <c r="F354" s="104"/>
      <c r="G354" s="104"/>
      <c r="H354" s="372"/>
      <c r="I354" s="239" t="s">
        <v>696</v>
      </c>
      <c r="J354" s="249"/>
      <c r="K354" s="134"/>
      <c r="L354" s="54"/>
      <c r="M354" s="443">
        <f>SUM(M356:M374)</f>
        <v>31000</v>
      </c>
      <c r="N354" s="527"/>
      <c r="O354" s="496"/>
      <c r="P354" s="496"/>
      <c r="Q354" s="496"/>
      <c r="R354" s="496"/>
      <c r="S354" s="496"/>
      <c r="T354" s="574"/>
      <c r="U354" s="523"/>
      <c r="V354" s="483">
        <f t="shared" si="29"/>
        <v>0</v>
      </c>
    </row>
    <row r="355" spans="1:22" ht="26.25" customHeight="1">
      <c r="A355" s="56"/>
      <c r="B355" s="52"/>
      <c r="C355" s="577"/>
      <c r="D355" s="223"/>
      <c r="E355" s="109"/>
      <c r="F355" s="110"/>
      <c r="G355" s="110"/>
      <c r="H355" s="374"/>
      <c r="I355" s="193" t="s">
        <v>837</v>
      </c>
      <c r="J355" s="261"/>
      <c r="K355" s="139"/>
      <c r="L355" s="50"/>
      <c r="M355" s="461"/>
      <c r="N355" s="528"/>
      <c r="O355" s="504"/>
      <c r="P355" s="504"/>
      <c r="Q355" s="504"/>
      <c r="R355" s="504"/>
      <c r="S355" s="504"/>
      <c r="T355" s="575"/>
      <c r="U355" s="523"/>
      <c r="V355" s="483">
        <f t="shared" si="29"/>
        <v>0</v>
      </c>
    </row>
    <row r="356" spans="1:22" ht="26.25" customHeight="1">
      <c r="A356" s="56"/>
      <c r="B356" s="57"/>
      <c r="C356" s="578"/>
      <c r="D356" s="303"/>
      <c r="E356" s="304"/>
      <c r="F356" s="305"/>
      <c r="G356" s="305"/>
      <c r="H356" s="375"/>
      <c r="I356" s="306" t="s">
        <v>838</v>
      </c>
      <c r="J356" s="307">
        <v>500</v>
      </c>
      <c r="K356" s="309" t="s">
        <v>856</v>
      </c>
      <c r="L356" s="242" t="s">
        <v>143</v>
      </c>
      <c r="M356" s="514">
        <v>500</v>
      </c>
      <c r="N356" s="583"/>
      <c r="O356" s="584"/>
      <c r="P356" s="584"/>
      <c r="Q356" s="584"/>
      <c r="R356" s="584"/>
      <c r="S356" s="584"/>
      <c r="T356" s="585"/>
      <c r="U356" s="523"/>
      <c r="V356" s="483">
        <f t="shared" si="29"/>
        <v>0</v>
      </c>
    </row>
    <row r="357" spans="1:22" ht="26.25" customHeight="1">
      <c r="A357" s="56"/>
      <c r="B357" s="51"/>
      <c r="C357" s="576"/>
      <c r="D357" s="220"/>
      <c r="E357" s="103"/>
      <c r="F357" s="104"/>
      <c r="G357" s="104"/>
      <c r="H357" s="372"/>
      <c r="I357" s="186" t="s">
        <v>839</v>
      </c>
      <c r="J357" s="250">
        <v>1500</v>
      </c>
      <c r="K357" s="135" t="s">
        <v>855</v>
      </c>
      <c r="L357" s="49" t="s">
        <v>143</v>
      </c>
      <c r="M357" s="444">
        <v>1500</v>
      </c>
      <c r="N357" s="527"/>
      <c r="O357" s="496"/>
      <c r="P357" s="496"/>
      <c r="Q357" s="496"/>
      <c r="R357" s="496"/>
      <c r="S357" s="496"/>
      <c r="T357" s="574"/>
      <c r="U357" s="523"/>
      <c r="V357" s="483">
        <f t="shared" si="29"/>
        <v>0</v>
      </c>
    </row>
    <row r="358" spans="1:22" ht="26.25" customHeight="1">
      <c r="A358" s="56"/>
      <c r="B358" s="51"/>
      <c r="C358" s="576"/>
      <c r="D358" s="220"/>
      <c r="E358" s="103"/>
      <c r="F358" s="104"/>
      <c r="G358" s="104"/>
      <c r="H358" s="372"/>
      <c r="I358" s="186" t="s">
        <v>540</v>
      </c>
      <c r="J358" s="250"/>
      <c r="K358" s="135"/>
      <c r="L358" s="49"/>
      <c r="M358" s="444"/>
      <c r="N358" s="527"/>
      <c r="O358" s="496"/>
      <c r="P358" s="496"/>
      <c r="Q358" s="496"/>
      <c r="R358" s="496"/>
      <c r="S358" s="496"/>
      <c r="T358" s="574"/>
      <c r="U358" s="523"/>
      <c r="V358" s="483">
        <f t="shared" si="29"/>
        <v>0</v>
      </c>
    </row>
    <row r="359" spans="1:22" ht="26.25" customHeight="1">
      <c r="A359" s="56"/>
      <c r="B359" s="51"/>
      <c r="C359" s="576"/>
      <c r="D359" s="220"/>
      <c r="E359" s="103"/>
      <c r="F359" s="104"/>
      <c r="G359" s="104"/>
      <c r="H359" s="372"/>
      <c r="I359" s="186" t="s">
        <v>840</v>
      </c>
      <c r="J359" s="250"/>
      <c r="K359" s="135"/>
      <c r="L359" s="49"/>
      <c r="M359" s="444">
        <v>1000</v>
      </c>
      <c r="N359" s="527"/>
      <c r="O359" s="496"/>
      <c r="P359" s="496"/>
      <c r="Q359" s="496"/>
      <c r="R359" s="496"/>
      <c r="S359" s="496"/>
      <c r="T359" s="574"/>
      <c r="U359" s="523"/>
      <c r="V359" s="483">
        <f t="shared" si="29"/>
        <v>0</v>
      </c>
    </row>
    <row r="360" spans="1:22" ht="26.25" customHeight="1">
      <c r="A360" s="56"/>
      <c r="B360" s="51"/>
      <c r="C360" s="576"/>
      <c r="D360" s="220"/>
      <c r="E360" s="103"/>
      <c r="F360" s="104"/>
      <c r="G360" s="104"/>
      <c r="H360" s="372"/>
      <c r="I360" s="186" t="s">
        <v>841</v>
      </c>
      <c r="J360" s="250"/>
      <c r="K360" s="135"/>
      <c r="L360" s="49"/>
      <c r="M360" s="444">
        <v>1000</v>
      </c>
      <c r="N360" s="527"/>
      <c r="O360" s="496"/>
      <c r="P360" s="496"/>
      <c r="Q360" s="496"/>
      <c r="R360" s="496"/>
      <c r="S360" s="496"/>
      <c r="T360" s="574"/>
      <c r="U360" s="523"/>
      <c r="V360" s="483">
        <f t="shared" si="29"/>
        <v>0</v>
      </c>
    </row>
    <row r="361" spans="1:22" ht="26.25" customHeight="1">
      <c r="A361" s="56"/>
      <c r="B361" s="51"/>
      <c r="C361" s="576"/>
      <c r="D361" s="220"/>
      <c r="E361" s="103"/>
      <c r="F361" s="104"/>
      <c r="G361" s="104"/>
      <c r="H361" s="372"/>
      <c r="I361" s="186" t="s">
        <v>842</v>
      </c>
      <c r="J361" s="250"/>
      <c r="K361" s="135"/>
      <c r="L361" s="49"/>
      <c r="M361" s="444"/>
      <c r="N361" s="527"/>
      <c r="O361" s="496"/>
      <c r="P361" s="496"/>
      <c r="Q361" s="496"/>
      <c r="R361" s="496"/>
      <c r="S361" s="496"/>
      <c r="T361" s="574"/>
      <c r="U361" s="523"/>
      <c r="V361" s="483">
        <f t="shared" si="29"/>
        <v>0</v>
      </c>
    </row>
    <row r="362" spans="1:22" ht="26.25" customHeight="1">
      <c r="A362" s="56"/>
      <c r="B362" s="51"/>
      <c r="C362" s="576"/>
      <c r="D362" s="220"/>
      <c r="E362" s="103"/>
      <c r="F362" s="104"/>
      <c r="G362" s="104"/>
      <c r="H362" s="372"/>
      <c r="I362" s="186" t="s">
        <v>843</v>
      </c>
      <c r="J362" s="250">
        <v>7000</v>
      </c>
      <c r="K362" s="135" t="s">
        <v>855</v>
      </c>
      <c r="L362" s="49" t="s">
        <v>143</v>
      </c>
      <c r="M362" s="444">
        <v>7000</v>
      </c>
      <c r="N362" s="527"/>
      <c r="O362" s="496"/>
      <c r="P362" s="496"/>
      <c r="Q362" s="496"/>
      <c r="R362" s="496"/>
      <c r="S362" s="496"/>
      <c r="T362" s="574"/>
      <c r="U362" s="523"/>
      <c r="V362" s="483">
        <f t="shared" si="29"/>
        <v>0</v>
      </c>
    </row>
    <row r="363" spans="1:22" ht="26.25" customHeight="1">
      <c r="A363" s="56"/>
      <c r="B363" s="51"/>
      <c r="C363" s="576"/>
      <c r="D363" s="220"/>
      <c r="E363" s="103"/>
      <c r="F363" s="104"/>
      <c r="G363" s="104"/>
      <c r="H363" s="372"/>
      <c r="I363" s="186" t="s">
        <v>844</v>
      </c>
      <c r="J363" s="250">
        <v>7000</v>
      </c>
      <c r="K363" s="135" t="s">
        <v>855</v>
      </c>
      <c r="L363" s="49" t="s">
        <v>143</v>
      </c>
      <c r="M363" s="444">
        <v>7000</v>
      </c>
      <c r="N363" s="527"/>
      <c r="O363" s="496"/>
      <c r="P363" s="496"/>
      <c r="Q363" s="496"/>
      <c r="R363" s="496"/>
      <c r="S363" s="496"/>
      <c r="T363" s="574"/>
      <c r="U363" s="523"/>
      <c r="V363" s="483">
        <f t="shared" si="29"/>
        <v>0</v>
      </c>
    </row>
    <row r="364" spans="1:22" ht="26.25" customHeight="1">
      <c r="A364" s="56"/>
      <c r="B364" s="51"/>
      <c r="C364" s="576"/>
      <c r="D364" s="220"/>
      <c r="E364" s="103"/>
      <c r="F364" s="104"/>
      <c r="G364" s="104"/>
      <c r="H364" s="372"/>
      <c r="I364" s="186" t="s">
        <v>845</v>
      </c>
      <c r="J364" s="250">
        <v>500</v>
      </c>
      <c r="K364" s="135" t="s">
        <v>855</v>
      </c>
      <c r="L364" s="49" t="s">
        <v>143</v>
      </c>
      <c r="M364" s="444">
        <v>500</v>
      </c>
      <c r="N364" s="527"/>
      <c r="O364" s="496"/>
      <c r="P364" s="496"/>
      <c r="Q364" s="496"/>
      <c r="R364" s="496"/>
      <c r="S364" s="496"/>
      <c r="T364" s="574"/>
      <c r="U364" s="523"/>
      <c r="V364" s="483">
        <f t="shared" si="29"/>
        <v>0</v>
      </c>
    </row>
    <row r="365" spans="1:22" ht="26.25" customHeight="1">
      <c r="A365" s="56"/>
      <c r="B365" s="51"/>
      <c r="C365" s="576"/>
      <c r="D365" s="220"/>
      <c r="E365" s="103"/>
      <c r="F365" s="104"/>
      <c r="G365" s="104"/>
      <c r="H365" s="372"/>
      <c r="I365" s="186" t="s">
        <v>846</v>
      </c>
      <c r="J365" s="250">
        <v>500</v>
      </c>
      <c r="K365" s="135" t="s">
        <v>855</v>
      </c>
      <c r="L365" s="49" t="s">
        <v>143</v>
      </c>
      <c r="M365" s="444">
        <v>500</v>
      </c>
      <c r="N365" s="527"/>
      <c r="O365" s="496"/>
      <c r="P365" s="496"/>
      <c r="Q365" s="496"/>
      <c r="R365" s="496"/>
      <c r="S365" s="496"/>
      <c r="T365" s="574"/>
      <c r="U365" s="523"/>
      <c r="V365" s="483">
        <f t="shared" si="29"/>
        <v>0</v>
      </c>
    </row>
    <row r="366" spans="1:22" ht="26.25" customHeight="1">
      <c r="A366" s="56"/>
      <c r="B366" s="51"/>
      <c r="C366" s="576"/>
      <c r="D366" s="220"/>
      <c r="E366" s="103"/>
      <c r="F366" s="104"/>
      <c r="G366" s="104"/>
      <c r="H366" s="372"/>
      <c r="I366" s="186" t="s">
        <v>847</v>
      </c>
      <c r="J366" s="250"/>
      <c r="K366" s="135"/>
      <c r="L366" s="49" t="s">
        <v>143</v>
      </c>
      <c r="M366" s="444">
        <v>6720</v>
      </c>
      <c r="N366" s="527"/>
      <c r="O366" s="496"/>
      <c r="P366" s="496"/>
      <c r="Q366" s="496"/>
      <c r="R366" s="496"/>
      <c r="S366" s="496"/>
      <c r="T366" s="574"/>
      <c r="U366" s="523"/>
      <c r="V366" s="483">
        <f t="shared" si="29"/>
        <v>0</v>
      </c>
    </row>
    <row r="367" spans="1:22" ht="26.25" customHeight="1">
      <c r="A367" s="56"/>
      <c r="B367" s="51"/>
      <c r="C367" s="576"/>
      <c r="D367" s="220"/>
      <c r="E367" s="103"/>
      <c r="F367" s="104"/>
      <c r="G367" s="104"/>
      <c r="H367" s="372"/>
      <c r="I367" s="186" t="s">
        <v>848</v>
      </c>
      <c r="J367" s="250"/>
      <c r="K367" s="135"/>
      <c r="L367" s="49" t="s">
        <v>143</v>
      </c>
      <c r="M367" s="444">
        <v>820</v>
      </c>
      <c r="N367" s="527"/>
      <c r="O367" s="496"/>
      <c r="P367" s="496"/>
      <c r="Q367" s="496"/>
      <c r="R367" s="496"/>
      <c r="S367" s="496"/>
      <c r="T367" s="574"/>
      <c r="U367" s="523"/>
      <c r="V367" s="483">
        <f t="shared" si="29"/>
        <v>0</v>
      </c>
    </row>
    <row r="368" spans="1:22" ht="26.25" customHeight="1">
      <c r="A368" s="56"/>
      <c r="B368" s="51"/>
      <c r="C368" s="576"/>
      <c r="D368" s="220"/>
      <c r="E368" s="103"/>
      <c r="F368" s="104"/>
      <c r="G368" s="104"/>
      <c r="H368" s="372"/>
      <c r="I368" s="186" t="s">
        <v>849</v>
      </c>
      <c r="J368" s="250"/>
      <c r="K368" s="135"/>
      <c r="L368" s="49"/>
      <c r="M368" s="444">
        <v>0</v>
      </c>
      <c r="N368" s="527"/>
      <c r="O368" s="496"/>
      <c r="P368" s="496"/>
      <c r="Q368" s="496"/>
      <c r="R368" s="496"/>
      <c r="S368" s="496"/>
      <c r="T368" s="574"/>
      <c r="U368" s="523"/>
      <c r="V368" s="483">
        <f t="shared" si="29"/>
        <v>0</v>
      </c>
    </row>
    <row r="369" spans="1:22" ht="26.25" customHeight="1">
      <c r="A369" s="56"/>
      <c r="B369" s="51"/>
      <c r="C369" s="576"/>
      <c r="D369" s="220"/>
      <c r="E369" s="103"/>
      <c r="F369" s="104"/>
      <c r="G369" s="104"/>
      <c r="H369" s="372"/>
      <c r="I369" s="186" t="s">
        <v>803</v>
      </c>
      <c r="J369" s="250"/>
      <c r="K369" s="135"/>
      <c r="L369" s="49"/>
      <c r="M369" s="444"/>
      <c r="N369" s="527"/>
      <c r="O369" s="496"/>
      <c r="P369" s="496"/>
      <c r="Q369" s="496"/>
      <c r="R369" s="496"/>
      <c r="S369" s="496"/>
      <c r="T369" s="574"/>
      <c r="U369" s="523"/>
      <c r="V369" s="483">
        <f t="shared" si="29"/>
        <v>0</v>
      </c>
    </row>
    <row r="370" spans="1:22" ht="26.25" customHeight="1">
      <c r="A370" s="56"/>
      <c r="B370" s="51"/>
      <c r="C370" s="576"/>
      <c r="D370" s="220"/>
      <c r="E370" s="103"/>
      <c r="F370" s="104"/>
      <c r="G370" s="104"/>
      <c r="H370" s="372"/>
      <c r="I370" s="186" t="s">
        <v>850</v>
      </c>
      <c r="J370" s="250"/>
      <c r="K370" s="135"/>
      <c r="L370" s="49" t="s">
        <v>143</v>
      </c>
      <c r="M370" s="444">
        <v>500</v>
      </c>
      <c r="N370" s="527"/>
      <c r="O370" s="496"/>
      <c r="P370" s="496"/>
      <c r="Q370" s="496"/>
      <c r="R370" s="496"/>
      <c r="S370" s="496"/>
      <c r="T370" s="574"/>
      <c r="U370" s="523"/>
      <c r="V370" s="483">
        <f t="shared" si="29"/>
        <v>0</v>
      </c>
    </row>
    <row r="371" spans="1:22" ht="26.25" customHeight="1">
      <c r="A371" s="56"/>
      <c r="B371" s="52"/>
      <c r="C371" s="577"/>
      <c r="D371" s="223"/>
      <c r="E371" s="109"/>
      <c r="F371" s="110"/>
      <c r="G371" s="110"/>
      <c r="H371" s="374"/>
      <c r="I371" s="193" t="s">
        <v>851</v>
      </c>
      <c r="J371" s="261"/>
      <c r="K371" s="139"/>
      <c r="L371" s="50" t="s">
        <v>143</v>
      </c>
      <c r="M371" s="461">
        <v>500</v>
      </c>
      <c r="N371" s="528"/>
      <c r="O371" s="504"/>
      <c r="P371" s="504"/>
      <c r="Q371" s="504"/>
      <c r="R371" s="504"/>
      <c r="S371" s="504"/>
      <c r="T371" s="575"/>
      <c r="U371" s="523"/>
      <c r="V371" s="483">
        <f t="shared" si="29"/>
        <v>0</v>
      </c>
    </row>
    <row r="372" spans="1:22" ht="26.25" customHeight="1">
      <c r="A372" s="56"/>
      <c r="B372" s="57"/>
      <c r="C372" s="578"/>
      <c r="D372" s="303"/>
      <c r="E372" s="304"/>
      <c r="F372" s="305"/>
      <c r="G372" s="305"/>
      <c r="H372" s="375"/>
      <c r="I372" s="306" t="s">
        <v>852</v>
      </c>
      <c r="J372" s="307"/>
      <c r="K372" s="309"/>
      <c r="L372" s="242" t="s">
        <v>143</v>
      </c>
      <c r="M372" s="514">
        <v>2500</v>
      </c>
      <c r="N372" s="583"/>
      <c r="O372" s="584"/>
      <c r="P372" s="584"/>
      <c r="Q372" s="584"/>
      <c r="R372" s="584"/>
      <c r="S372" s="584"/>
      <c r="T372" s="585"/>
      <c r="U372" s="523"/>
      <c r="V372" s="483">
        <f t="shared" si="29"/>
        <v>0</v>
      </c>
    </row>
    <row r="373" spans="1:22" ht="26.25" customHeight="1">
      <c r="A373" s="56"/>
      <c r="B373" s="51"/>
      <c r="C373" s="576"/>
      <c r="D373" s="220"/>
      <c r="E373" s="103"/>
      <c r="F373" s="104"/>
      <c r="G373" s="104"/>
      <c r="H373" s="372"/>
      <c r="I373" s="186" t="s">
        <v>853</v>
      </c>
      <c r="J373" s="250"/>
      <c r="K373" s="135"/>
      <c r="L373" s="49" t="s">
        <v>143</v>
      </c>
      <c r="M373" s="444">
        <v>960</v>
      </c>
      <c r="N373" s="527"/>
      <c r="O373" s="496"/>
      <c r="P373" s="496"/>
      <c r="Q373" s="496"/>
      <c r="R373" s="496"/>
      <c r="S373" s="496"/>
      <c r="T373" s="574"/>
      <c r="U373" s="523"/>
      <c r="V373" s="483">
        <f t="shared" si="29"/>
        <v>0</v>
      </c>
    </row>
    <row r="374" spans="1:22" ht="26.25" customHeight="1">
      <c r="A374" s="56"/>
      <c r="B374" s="51"/>
      <c r="C374" s="576"/>
      <c r="D374" s="220"/>
      <c r="E374" s="103"/>
      <c r="F374" s="104"/>
      <c r="G374" s="106"/>
      <c r="H374" s="376"/>
      <c r="I374" s="186" t="s">
        <v>854</v>
      </c>
      <c r="J374" s="250"/>
      <c r="K374" s="135"/>
      <c r="L374" s="49"/>
      <c r="M374" s="444">
        <v>0</v>
      </c>
      <c r="N374" s="527"/>
      <c r="O374" s="496"/>
      <c r="P374" s="496"/>
      <c r="Q374" s="496"/>
      <c r="R374" s="496"/>
      <c r="S374" s="496"/>
      <c r="T374" s="574"/>
      <c r="U374" s="523"/>
      <c r="V374" s="483">
        <f t="shared" si="29"/>
        <v>0</v>
      </c>
    </row>
    <row r="375" spans="1:22" ht="26.25" customHeight="1">
      <c r="A375" s="56"/>
      <c r="B375" s="51"/>
      <c r="C375" s="576"/>
      <c r="D375" s="222" t="s">
        <v>179</v>
      </c>
      <c r="E375" s="101">
        <f>M375</f>
        <v>24890</v>
      </c>
      <c r="F375" s="102">
        <v>38517</v>
      </c>
      <c r="G375" s="313">
        <f>E375-F375</f>
        <v>-13627</v>
      </c>
      <c r="H375" s="314">
        <f>G375/F375</f>
        <v>-0.3537918321779993</v>
      </c>
      <c r="I375" s="279" t="s">
        <v>857</v>
      </c>
      <c r="J375" s="280"/>
      <c r="K375" s="136"/>
      <c r="L375" s="55"/>
      <c r="M375" s="531">
        <f>M376+M405+M406</f>
        <v>24890</v>
      </c>
      <c r="N375" s="417">
        <f aca="true" t="shared" si="30" ref="N375:T375">SUM(N376,N405,N406)</f>
        <v>0</v>
      </c>
      <c r="O375" s="415">
        <f t="shared" si="30"/>
        <v>8405</v>
      </c>
      <c r="P375" s="415">
        <f t="shared" si="30"/>
        <v>4405</v>
      </c>
      <c r="Q375" s="415">
        <f t="shared" si="30"/>
        <v>7080</v>
      </c>
      <c r="R375" s="415">
        <f t="shared" si="30"/>
        <v>0</v>
      </c>
      <c r="S375" s="415">
        <f t="shared" si="30"/>
        <v>5000</v>
      </c>
      <c r="T375" s="416">
        <f t="shared" si="30"/>
        <v>0</v>
      </c>
      <c r="U375" s="523"/>
      <c r="V375" s="483">
        <f t="shared" si="29"/>
        <v>24890</v>
      </c>
    </row>
    <row r="376" spans="1:22" ht="26.25" customHeight="1">
      <c r="A376" s="56"/>
      <c r="B376" s="51"/>
      <c r="C376" s="576"/>
      <c r="D376" s="220" t="s">
        <v>164</v>
      </c>
      <c r="E376" s="103"/>
      <c r="F376" s="104"/>
      <c r="G376" s="104"/>
      <c r="H376" s="372"/>
      <c r="I376" s="239" t="s">
        <v>696</v>
      </c>
      <c r="J376" s="256"/>
      <c r="K376" s="134"/>
      <c r="L376" s="54"/>
      <c r="M376" s="443">
        <f>SUM(M378:M404)</f>
        <v>13810</v>
      </c>
      <c r="N376" s="527">
        <v>0</v>
      </c>
      <c r="O376" s="415">
        <v>4405</v>
      </c>
      <c r="P376" s="415">
        <v>4405</v>
      </c>
      <c r="Q376" s="415">
        <v>0</v>
      </c>
      <c r="R376" s="415">
        <v>0</v>
      </c>
      <c r="S376" s="415">
        <v>5000</v>
      </c>
      <c r="T376" s="416">
        <v>0</v>
      </c>
      <c r="U376" s="523"/>
      <c r="V376" s="483">
        <f t="shared" si="29"/>
        <v>13810</v>
      </c>
    </row>
    <row r="377" spans="1:22" ht="26.25" customHeight="1">
      <c r="A377" s="56"/>
      <c r="B377" s="51"/>
      <c r="C377" s="576"/>
      <c r="D377" s="219"/>
      <c r="E377" s="103"/>
      <c r="F377" s="104"/>
      <c r="G377" s="104"/>
      <c r="H377" s="372"/>
      <c r="I377" s="186" t="s">
        <v>861</v>
      </c>
      <c r="J377" s="250"/>
      <c r="K377" s="135"/>
      <c r="L377" s="49"/>
      <c r="M377" s="538"/>
      <c r="N377" s="629"/>
      <c r="O377" s="496"/>
      <c r="P377" s="496"/>
      <c r="Q377" s="496"/>
      <c r="R377" s="496"/>
      <c r="S377" s="496"/>
      <c r="T377" s="574"/>
      <c r="U377" s="523"/>
      <c r="V377" s="483">
        <f t="shared" si="29"/>
        <v>0</v>
      </c>
    </row>
    <row r="378" spans="1:22" ht="26.25" customHeight="1">
      <c r="A378" s="56"/>
      <c r="B378" s="51"/>
      <c r="C378" s="576"/>
      <c r="D378" s="219"/>
      <c r="E378" s="103"/>
      <c r="F378" s="104"/>
      <c r="G378" s="104"/>
      <c r="H378" s="372"/>
      <c r="I378" s="185" t="s">
        <v>555</v>
      </c>
      <c r="J378" s="249">
        <v>100000</v>
      </c>
      <c r="K378" s="134" t="s">
        <v>466</v>
      </c>
      <c r="L378" s="54" t="s">
        <v>143</v>
      </c>
      <c r="M378" s="443">
        <f>J378*2/1000</f>
        <v>200</v>
      </c>
      <c r="N378" s="625"/>
      <c r="O378" s="626"/>
      <c r="P378" s="626"/>
      <c r="Q378" s="626"/>
      <c r="R378" s="626"/>
      <c r="S378" s="626"/>
      <c r="T378" s="627"/>
      <c r="U378" s="523"/>
      <c r="V378" s="483">
        <f t="shared" si="29"/>
        <v>0</v>
      </c>
    </row>
    <row r="379" spans="1:22" ht="26.25" customHeight="1">
      <c r="A379" s="56"/>
      <c r="B379" s="51"/>
      <c r="C379" s="576"/>
      <c r="D379" s="219"/>
      <c r="E379" s="103"/>
      <c r="F379" s="104"/>
      <c r="G379" s="104"/>
      <c r="H379" s="372"/>
      <c r="I379" s="186" t="s">
        <v>549</v>
      </c>
      <c r="J379" s="250"/>
      <c r="K379" s="135"/>
      <c r="L379" s="49"/>
      <c r="M379" s="538"/>
      <c r="N379" s="527"/>
      <c r="O379" s="496"/>
      <c r="P379" s="496"/>
      <c r="Q379" s="496"/>
      <c r="R379" s="496"/>
      <c r="S379" s="496"/>
      <c r="T379" s="574"/>
      <c r="U379" s="523"/>
      <c r="V379" s="483">
        <f t="shared" si="29"/>
        <v>0</v>
      </c>
    </row>
    <row r="380" spans="1:22" ht="26.25" customHeight="1">
      <c r="A380" s="56"/>
      <c r="B380" s="51"/>
      <c r="C380" s="576"/>
      <c r="D380" s="219"/>
      <c r="E380" s="103"/>
      <c r="F380" s="104"/>
      <c r="G380" s="104"/>
      <c r="H380" s="372"/>
      <c r="I380" s="185" t="s">
        <v>558</v>
      </c>
      <c r="J380" s="249"/>
      <c r="K380" s="134"/>
      <c r="L380" s="54"/>
      <c r="M380" s="443"/>
      <c r="N380" s="527"/>
      <c r="O380" s="496"/>
      <c r="P380" s="496"/>
      <c r="Q380" s="496"/>
      <c r="R380" s="496"/>
      <c r="S380" s="496"/>
      <c r="T380" s="574"/>
      <c r="U380" s="523"/>
      <c r="V380" s="483">
        <f t="shared" si="29"/>
        <v>0</v>
      </c>
    </row>
    <row r="381" spans="1:22" ht="26.25" customHeight="1">
      <c r="A381" s="56"/>
      <c r="B381" s="51"/>
      <c r="C381" s="576"/>
      <c r="D381" s="219"/>
      <c r="E381" s="103"/>
      <c r="F381" s="104"/>
      <c r="G381" s="104"/>
      <c r="H381" s="372"/>
      <c r="I381" s="186" t="s">
        <v>560</v>
      </c>
      <c r="J381" s="250">
        <v>25000</v>
      </c>
      <c r="K381" s="135" t="s">
        <v>572</v>
      </c>
      <c r="L381" s="54" t="s">
        <v>143</v>
      </c>
      <c r="M381" s="444">
        <f>J381*96/1000</f>
        <v>2400</v>
      </c>
      <c r="N381" s="527"/>
      <c r="O381" s="496"/>
      <c r="P381" s="496"/>
      <c r="Q381" s="496"/>
      <c r="R381" s="496"/>
      <c r="S381" s="496"/>
      <c r="T381" s="574"/>
      <c r="U381" s="523"/>
      <c r="V381" s="483">
        <f t="shared" si="29"/>
        <v>0</v>
      </c>
    </row>
    <row r="382" spans="1:22" ht="26.25" customHeight="1">
      <c r="A382" s="56"/>
      <c r="B382" s="51"/>
      <c r="C382" s="576"/>
      <c r="D382" s="219"/>
      <c r="E382" s="103"/>
      <c r="F382" s="104"/>
      <c r="G382" s="104"/>
      <c r="H382" s="372"/>
      <c r="I382" s="186" t="s">
        <v>556</v>
      </c>
      <c r="J382" s="250"/>
      <c r="K382" s="135"/>
      <c r="L382" s="49"/>
      <c r="M382" s="444"/>
      <c r="N382" s="527"/>
      <c r="O382" s="496"/>
      <c r="P382" s="496"/>
      <c r="Q382" s="496"/>
      <c r="R382" s="496"/>
      <c r="S382" s="496"/>
      <c r="T382" s="574"/>
      <c r="U382" s="523"/>
      <c r="V382" s="483">
        <f t="shared" si="29"/>
        <v>0</v>
      </c>
    </row>
    <row r="383" spans="1:22" ht="26.25" customHeight="1">
      <c r="A383" s="56"/>
      <c r="B383" s="51"/>
      <c r="C383" s="576"/>
      <c r="D383" s="219"/>
      <c r="E383" s="103"/>
      <c r="F383" s="104"/>
      <c r="G383" s="104"/>
      <c r="H383" s="372"/>
      <c r="I383" s="186" t="s">
        <v>561</v>
      </c>
      <c r="J383" s="250">
        <v>20000</v>
      </c>
      <c r="K383" s="135" t="s">
        <v>499</v>
      </c>
      <c r="L383" s="54" t="s">
        <v>143</v>
      </c>
      <c r="M383" s="444">
        <f>J383*10/1000</f>
        <v>200</v>
      </c>
      <c r="N383" s="527"/>
      <c r="O383" s="496"/>
      <c r="P383" s="496"/>
      <c r="Q383" s="496"/>
      <c r="R383" s="496"/>
      <c r="S383" s="496"/>
      <c r="T383" s="574"/>
      <c r="U383" s="523"/>
      <c r="V383" s="483">
        <f t="shared" si="29"/>
        <v>0</v>
      </c>
    </row>
    <row r="384" spans="1:22" ht="26.25" customHeight="1">
      <c r="A384" s="56"/>
      <c r="B384" s="51"/>
      <c r="C384" s="576"/>
      <c r="D384" s="219"/>
      <c r="E384" s="103"/>
      <c r="F384" s="104"/>
      <c r="G384" s="104"/>
      <c r="H384" s="372"/>
      <c r="I384" s="186" t="s">
        <v>562</v>
      </c>
      <c r="J384" s="250">
        <v>25000</v>
      </c>
      <c r="K384" s="135" t="s">
        <v>572</v>
      </c>
      <c r="L384" s="54" t="s">
        <v>143</v>
      </c>
      <c r="M384" s="444">
        <f>J384*96/1000</f>
        <v>2400</v>
      </c>
      <c r="N384" s="527"/>
      <c r="O384" s="496"/>
      <c r="P384" s="496"/>
      <c r="Q384" s="496"/>
      <c r="R384" s="496"/>
      <c r="S384" s="496"/>
      <c r="T384" s="574"/>
      <c r="U384" s="523"/>
      <c r="V384" s="483">
        <f t="shared" si="29"/>
        <v>0</v>
      </c>
    </row>
    <row r="385" spans="1:22" ht="26.25" customHeight="1">
      <c r="A385" s="56"/>
      <c r="B385" s="51"/>
      <c r="C385" s="576"/>
      <c r="D385" s="219"/>
      <c r="E385" s="103"/>
      <c r="F385" s="104"/>
      <c r="G385" s="104"/>
      <c r="H385" s="372"/>
      <c r="I385" s="186" t="s">
        <v>557</v>
      </c>
      <c r="J385" s="250"/>
      <c r="K385" s="135"/>
      <c r="L385" s="49"/>
      <c r="M385" s="444"/>
      <c r="N385" s="527"/>
      <c r="O385" s="496"/>
      <c r="P385" s="496"/>
      <c r="Q385" s="496"/>
      <c r="R385" s="496"/>
      <c r="S385" s="496"/>
      <c r="T385" s="574"/>
      <c r="U385" s="523"/>
      <c r="V385" s="483">
        <f t="shared" si="29"/>
        <v>0</v>
      </c>
    </row>
    <row r="386" spans="1:22" ht="26.25" customHeight="1">
      <c r="A386" s="56"/>
      <c r="B386" s="51"/>
      <c r="C386" s="576"/>
      <c r="D386" s="219"/>
      <c r="E386" s="103"/>
      <c r="F386" s="104"/>
      <c r="G386" s="104"/>
      <c r="H386" s="372"/>
      <c r="I386" s="186" t="s">
        <v>560</v>
      </c>
      <c r="J386" s="250">
        <v>25000</v>
      </c>
      <c r="K386" s="135" t="s">
        <v>572</v>
      </c>
      <c r="L386" s="54" t="s">
        <v>143</v>
      </c>
      <c r="M386" s="444">
        <f>J386*96/1000</f>
        <v>2400</v>
      </c>
      <c r="N386" s="527"/>
      <c r="O386" s="496"/>
      <c r="P386" s="496"/>
      <c r="Q386" s="496"/>
      <c r="R386" s="496"/>
      <c r="S386" s="496"/>
      <c r="T386" s="574"/>
      <c r="U386" s="523"/>
      <c r="V386" s="483">
        <f t="shared" si="29"/>
        <v>0</v>
      </c>
    </row>
    <row r="387" spans="1:22" ht="26.25" customHeight="1">
      <c r="A387" s="56"/>
      <c r="B387" s="52"/>
      <c r="C387" s="577"/>
      <c r="D387" s="543"/>
      <c r="E387" s="109"/>
      <c r="F387" s="110"/>
      <c r="G387" s="110"/>
      <c r="H387" s="374"/>
      <c r="I387" s="193" t="s">
        <v>559</v>
      </c>
      <c r="J387" s="261"/>
      <c r="K387" s="139"/>
      <c r="L387" s="50"/>
      <c r="M387" s="461"/>
      <c r="N387" s="528"/>
      <c r="O387" s="504"/>
      <c r="P387" s="504"/>
      <c r="Q387" s="504"/>
      <c r="R387" s="504"/>
      <c r="S387" s="504"/>
      <c r="T387" s="575"/>
      <c r="U387" s="523"/>
      <c r="V387" s="483">
        <f t="shared" si="29"/>
        <v>0</v>
      </c>
    </row>
    <row r="388" spans="1:22" ht="26.25" customHeight="1">
      <c r="A388" s="56"/>
      <c r="B388" s="57"/>
      <c r="C388" s="578"/>
      <c r="D388" s="276"/>
      <c r="E388" s="304"/>
      <c r="F388" s="305"/>
      <c r="G388" s="305"/>
      <c r="H388" s="375"/>
      <c r="I388" s="306" t="s">
        <v>562</v>
      </c>
      <c r="J388" s="307">
        <v>25000</v>
      </c>
      <c r="K388" s="309" t="s">
        <v>573</v>
      </c>
      <c r="L388" s="242" t="s">
        <v>143</v>
      </c>
      <c r="M388" s="514">
        <f>J388*64/1000</f>
        <v>1600</v>
      </c>
      <c r="N388" s="583"/>
      <c r="O388" s="584"/>
      <c r="P388" s="584"/>
      <c r="Q388" s="584"/>
      <c r="R388" s="584"/>
      <c r="S388" s="584"/>
      <c r="T388" s="585"/>
      <c r="U388" s="523"/>
      <c r="V388" s="483">
        <f t="shared" si="29"/>
        <v>0</v>
      </c>
    </row>
    <row r="389" spans="1:22" ht="26.25" customHeight="1">
      <c r="A389" s="56"/>
      <c r="B389" s="51"/>
      <c r="C389" s="576"/>
      <c r="D389" s="219"/>
      <c r="E389" s="103"/>
      <c r="F389" s="104"/>
      <c r="G389" s="104"/>
      <c r="H389" s="372"/>
      <c r="I389" s="186" t="s">
        <v>563</v>
      </c>
      <c r="J389" s="250">
        <v>300000</v>
      </c>
      <c r="K389" s="135" t="s">
        <v>574</v>
      </c>
      <c r="L389" s="54" t="s">
        <v>143</v>
      </c>
      <c r="M389" s="444">
        <f>J389*5/1000</f>
        <v>1500</v>
      </c>
      <c r="N389" s="527"/>
      <c r="O389" s="496"/>
      <c r="P389" s="496"/>
      <c r="Q389" s="496"/>
      <c r="R389" s="496"/>
      <c r="S389" s="496"/>
      <c r="T389" s="574"/>
      <c r="U389" s="523"/>
      <c r="V389" s="483">
        <f t="shared" si="29"/>
        <v>0</v>
      </c>
    </row>
    <row r="390" spans="1:22" ht="26.25" customHeight="1">
      <c r="A390" s="56"/>
      <c r="B390" s="51"/>
      <c r="C390" s="576"/>
      <c r="D390" s="219"/>
      <c r="E390" s="103"/>
      <c r="F390" s="104"/>
      <c r="G390" s="104"/>
      <c r="H390" s="372"/>
      <c r="I390" s="186" t="s">
        <v>550</v>
      </c>
      <c r="J390" s="250"/>
      <c r="K390" s="135"/>
      <c r="L390" s="49"/>
      <c r="M390" s="536"/>
      <c r="N390" s="527"/>
      <c r="O390" s="496"/>
      <c r="P390" s="496"/>
      <c r="Q390" s="496"/>
      <c r="R390" s="496"/>
      <c r="S390" s="496"/>
      <c r="T390" s="574"/>
      <c r="U390" s="523"/>
      <c r="V390" s="483">
        <f t="shared" si="29"/>
        <v>0</v>
      </c>
    </row>
    <row r="391" spans="1:22" ht="26.25" customHeight="1">
      <c r="A391" s="56"/>
      <c r="B391" s="51"/>
      <c r="C391" s="576"/>
      <c r="D391" s="219"/>
      <c r="E391" s="103"/>
      <c r="F391" s="104"/>
      <c r="G391" s="104"/>
      <c r="H391" s="372"/>
      <c r="I391" s="186" t="s">
        <v>564</v>
      </c>
      <c r="J391" s="250"/>
      <c r="K391" s="135"/>
      <c r="L391" s="49"/>
      <c r="M391" s="444"/>
      <c r="N391" s="527"/>
      <c r="O391" s="496"/>
      <c r="P391" s="496"/>
      <c r="Q391" s="496"/>
      <c r="R391" s="496"/>
      <c r="S391" s="496"/>
      <c r="T391" s="574"/>
      <c r="U391" s="523"/>
      <c r="V391" s="483">
        <f aca="true" t="shared" si="31" ref="V391:V439">SUM(N391:T391)</f>
        <v>0</v>
      </c>
    </row>
    <row r="392" spans="1:22" ht="26.25" customHeight="1">
      <c r="A392" s="56"/>
      <c r="B392" s="51"/>
      <c r="C392" s="576"/>
      <c r="D392" s="219"/>
      <c r="E392" s="103"/>
      <c r="F392" s="104"/>
      <c r="G392" s="104"/>
      <c r="H392" s="372"/>
      <c r="I392" s="186" t="s">
        <v>563</v>
      </c>
      <c r="J392" s="250">
        <v>2500</v>
      </c>
      <c r="K392" s="135" t="s">
        <v>575</v>
      </c>
      <c r="L392" s="54" t="s">
        <v>143</v>
      </c>
      <c r="M392" s="444">
        <f>J392*20/1000</f>
        <v>50</v>
      </c>
      <c r="N392" s="527"/>
      <c r="O392" s="496"/>
      <c r="P392" s="496"/>
      <c r="Q392" s="496"/>
      <c r="R392" s="496"/>
      <c r="S392" s="496"/>
      <c r="T392" s="574"/>
      <c r="U392" s="523"/>
      <c r="V392" s="483">
        <f t="shared" si="31"/>
        <v>0</v>
      </c>
    </row>
    <row r="393" spans="1:22" ht="26.25" customHeight="1">
      <c r="A393" s="56"/>
      <c r="B393" s="51"/>
      <c r="C393" s="576"/>
      <c r="D393" s="219"/>
      <c r="E393" s="103"/>
      <c r="F393" s="104"/>
      <c r="G393" s="104"/>
      <c r="H393" s="372"/>
      <c r="I393" s="186" t="s">
        <v>567</v>
      </c>
      <c r="J393" s="250">
        <v>5000</v>
      </c>
      <c r="K393" s="135" t="s">
        <v>576</v>
      </c>
      <c r="L393" s="54" t="s">
        <v>143</v>
      </c>
      <c r="M393" s="444">
        <f>J393*20/1000</f>
        <v>100</v>
      </c>
      <c r="N393" s="527"/>
      <c r="O393" s="496"/>
      <c r="P393" s="496"/>
      <c r="Q393" s="496"/>
      <c r="R393" s="496"/>
      <c r="S393" s="496"/>
      <c r="T393" s="574"/>
      <c r="U393" s="523"/>
      <c r="V393" s="483">
        <f t="shared" si="31"/>
        <v>0</v>
      </c>
    </row>
    <row r="394" spans="1:22" ht="26.25" customHeight="1">
      <c r="A394" s="56"/>
      <c r="B394" s="51"/>
      <c r="C394" s="576"/>
      <c r="D394" s="219"/>
      <c r="E394" s="103"/>
      <c r="F394" s="104"/>
      <c r="G394" s="104"/>
      <c r="H394" s="372"/>
      <c r="I394" s="186" t="s">
        <v>566</v>
      </c>
      <c r="J394" s="250">
        <v>50000</v>
      </c>
      <c r="K394" s="135" t="s">
        <v>465</v>
      </c>
      <c r="L394" s="54" t="s">
        <v>143</v>
      </c>
      <c r="M394" s="444">
        <f>J394*1/1000</f>
        <v>50</v>
      </c>
      <c r="N394" s="527"/>
      <c r="O394" s="496"/>
      <c r="P394" s="496"/>
      <c r="Q394" s="496"/>
      <c r="R394" s="496"/>
      <c r="S394" s="496"/>
      <c r="T394" s="574"/>
      <c r="U394" s="523"/>
      <c r="V394" s="483">
        <f t="shared" si="31"/>
        <v>0</v>
      </c>
    </row>
    <row r="395" spans="1:22" ht="26.25" customHeight="1">
      <c r="A395" s="56"/>
      <c r="B395" s="51"/>
      <c r="C395" s="576"/>
      <c r="D395" s="219"/>
      <c r="E395" s="103"/>
      <c r="F395" s="104"/>
      <c r="G395" s="104"/>
      <c r="H395" s="372"/>
      <c r="I395" s="186" t="s">
        <v>862</v>
      </c>
      <c r="J395" s="250"/>
      <c r="K395" s="135"/>
      <c r="L395" s="49"/>
      <c r="M395" s="444"/>
      <c r="N395" s="527"/>
      <c r="O395" s="496"/>
      <c r="P395" s="496"/>
      <c r="Q395" s="496"/>
      <c r="R395" s="496"/>
      <c r="S395" s="496"/>
      <c r="T395" s="574"/>
      <c r="U395" s="523"/>
      <c r="V395" s="483">
        <f t="shared" si="31"/>
        <v>0</v>
      </c>
    </row>
    <row r="396" spans="1:22" ht="26.25" customHeight="1">
      <c r="A396" s="56"/>
      <c r="B396" s="51"/>
      <c r="C396" s="576"/>
      <c r="D396" s="219"/>
      <c r="E396" s="103"/>
      <c r="F396" s="104"/>
      <c r="G396" s="104"/>
      <c r="H396" s="372"/>
      <c r="I396" s="186" t="s">
        <v>563</v>
      </c>
      <c r="J396" s="250">
        <v>2000</v>
      </c>
      <c r="K396" s="135" t="s">
        <v>577</v>
      </c>
      <c r="L396" s="54" t="s">
        <v>143</v>
      </c>
      <c r="M396" s="444">
        <f>J396*25/1000</f>
        <v>50</v>
      </c>
      <c r="N396" s="527"/>
      <c r="O396" s="496"/>
      <c r="P396" s="496"/>
      <c r="Q396" s="496"/>
      <c r="R396" s="496"/>
      <c r="S396" s="496"/>
      <c r="T396" s="574"/>
      <c r="U396" s="523"/>
      <c r="V396" s="483">
        <f t="shared" si="31"/>
        <v>0</v>
      </c>
    </row>
    <row r="397" spans="1:22" ht="26.25" customHeight="1">
      <c r="A397" s="56"/>
      <c r="B397" s="51"/>
      <c r="C397" s="576"/>
      <c r="D397" s="219"/>
      <c r="E397" s="103"/>
      <c r="F397" s="104"/>
      <c r="G397" s="104"/>
      <c r="H397" s="372"/>
      <c r="I397" s="186" t="s">
        <v>863</v>
      </c>
      <c r="J397" s="250"/>
      <c r="K397" s="135"/>
      <c r="L397" s="49"/>
      <c r="M397" s="444"/>
      <c r="N397" s="527"/>
      <c r="O397" s="496"/>
      <c r="P397" s="496"/>
      <c r="Q397" s="496"/>
      <c r="R397" s="496"/>
      <c r="S397" s="496"/>
      <c r="T397" s="574"/>
      <c r="U397" s="523"/>
      <c r="V397" s="483">
        <f t="shared" si="31"/>
        <v>0</v>
      </c>
    </row>
    <row r="398" spans="1:22" ht="26.25" customHeight="1">
      <c r="A398" s="56"/>
      <c r="B398" s="51"/>
      <c r="C398" s="576"/>
      <c r="D398" s="219"/>
      <c r="E398" s="103"/>
      <c r="F398" s="104"/>
      <c r="G398" s="104"/>
      <c r="H398" s="372"/>
      <c r="I398" s="186" t="s">
        <v>563</v>
      </c>
      <c r="J398" s="250">
        <v>10000</v>
      </c>
      <c r="K398" s="135" t="s">
        <v>578</v>
      </c>
      <c r="L398" s="54" t="s">
        <v>143</v>
      </c>
      <c r="M398" s="444">
        <f>J398*5/1000</f>
        <v>50</v>
      </c>
      <c r="N398" s="527"/>
      <c r="O398" s="496"/>
      <c r="P398" s="496"/>
      <c r="Q398" s="496"/>
      <c r="R398" s="496"/>
      <c r="S398" s="496"/>
      <c r="T398" s="574"/>
      <c r="U398" s="523"/>
      <c r="V398" s="483">
        <f t="shared" si="31"/>
        <v>0</v>
      </c>
    </row>
    <row r="399" spans="1:22" ht="26.25" customHeight="1">
      <c r="A399" s="56"/>
      <c r="B399" s="51"/>
      <c r="C399" s="576"/>
      <c r="D399" s="219"/>
      <c r="E399" s="103"/>
      <c r="F399" s="104"/>
      <c r="G399" s="104"/>
      <c r="H399" s="372"/>
      <c r="I399" s="186" t="s">
        <v>864</v>
      </c>
      <c r="J399" s="250"/>
      <c r="K399" s="135"/>
      <c r="L399" s="49"/>
      <c r="M399" s="536"/>
      <c r="N399" s="527"/>
      <c r="O399" s="496"/>
      <c r="P399" s="496"/>
      <c r="Q399" s="496"/>
      <c r="R399" s="496"/>
      <c r="S399" s="496"/>
      <c r="T399" s="574"/>
      <c r="U399" s="523"/>
      <c r="V399" s="483">
        <f t="shared" si="31"/>
        <v>0</v>
      </c>
    </row>
    <row r="400" spans="1:22" ht="26.25" customHeight="1">
      <c r="A400" s="56"/>
      <c r="B400" s="51"/>
      <c r="C400" s="576"/>
      <c r="D400" s="219"/>
      <c r="E400" s="103"/>
      <c r="F400" s="104"/>
      <c r="G400" s="104"/>
      <c r="H400" s="372"/>
      <c r="I400" s="186" t="s">
        <v>568</v>
      </c>
      <c r="J400" s="250"/>
      <c r="K400" s="135"/>
      <c r="L400" s="49"/>
      <c r="M400" s="444"/>
      <c r="N400" s="527"/>
      <c r="O400" s="496"/>
      <c r="P400" s="496"/>
      <c r="Q400" s="496"/>
      <c r="R400" s="496"/>
      <c r="S400" s="496"/>
      <c r="T400" s="574"/>
      <c r="U400" s="523"/>
      <c r="V400" s="483">
        <f t="shared" si="31"/>
        <v>0</v>
      </c>
    </row>
    <row r="401" spans="1:22" ht="26.25" customHeight="1">
      <c r="A401" s="56"/>
      <c r="B401" s="51"/>
      <c r="C401" s="576"/>
      <c r="D401" s="219"/>
      <c r="E401" s="103"/>
      <c r="F401" s="104"/>
      <c r="G401" s="104"/>
      <c r="H401" s="372"/>
      <c r="I401" s="186" t="s">
        <v>569</v>
      </c>
      <c r="J401" s="250">
        <v>45000</v>
      </c>
      <c r="K401" s="135" t="s">
        <v>466</v>
      </c>
      <c r="L401" s="54" t="s">
        <v>143</v>
      </c>
      <c r="M401" s="444">
        <f>J401*2/1000</f>
        <v>90</v>
      </c>
      <c r="N401" s="527"/>
      <c r="O401" s="496"/>
      <c r="P401" s="496"/>
      <c r="Q401" s="496"/>
      <c r="R401" s="496"/>
      <c r="S401" s="496"/>
      <c r="T401" s="574"/>
      <c r="U401" s="523"/>
      <c r="V401" s="483">
        <f t="shared" si="31"/>
        <v>0</v>
      </c>
    </row>
    <row r="402" spans="1:22" ht="26.25" customHeight="1">
      <c r="A402" s="56"/>
      <c r="B402" s="51"/>
      <c r="C402" s="576"/>
      <c r="D402" s="219"/>
      <c r="E402" s="103"/>
      <c r="F402" s="104"/>
      <c r="G402" s="104"/>
      <c r="H402" s="372"/>
      <c r="I402" s="186" t="s">
        <v>570</v>
      </c>
      <c r="J402" s="250"/>
      <c r="K402" s="135"/>
      <c r="L402" s="49"/>
      <c r="M402" s="444"/>
      <c r="N402" s="527"/>
      <c r="O402" s="496"/>
      <c r="P402" s="496"/>
      <c r="Q402" s="496"/>
      <c r="R402" s="496"/>
      <c r="S402" s="496"/>
      <c r="T402" s="574"/>
      <c r="U402" s="523"/>
      <c r="V402" s="483">
        <f t="shared" si="31"/>
        <v>0</v>
      </c>
    </row>
    <row r="403" spans="1:22" ht="26.25" customHeight="1">
      <c r="A403" s="56"/>
      <c r="B403" s="52"/>
      <c r="C403" s="577"/>
      <c r="D403" s="543"/>
      <c r="E403" s="109"/>
      <c r="F403" s="110"/>
      <c r="G403" s="110"/>
      <c r="H403" s="374"/>
      <c r="I403" s="580" t="s">
        <v>569</v>
      </c>
      <c r="J403" s="272">
        <v>1200000</v>
      </c>
      <c r="K403" s="546" t="s">
        <v>466</v>
      </c>
      <c r="L403" s="308" t="s">
        <v>143</v>
      </c>
      <c r="M403" s="448">
        <f>J403*2/1000</f>
        <v>2400</v>
      </c>
      <c r="N403" s="645"/>
      <c r="O403" s="646"/>
      <c r="P403" s="646"/>
      <c r="Q403" s="646"/>
      <c r="R403" s="646"/>
      <c r="S403" s="646"/>
      <c r="T403" s="647"/>
      <c r="U403" s="523"/>
      <c r="V403" s="483">
        <f t="shared" si="31"/>
        <v>0</v>
      </c>
    </row>
    <row r="404" spans="1:22" ht="26.25" customHeight="1">
      <c r="A404" s="56"/>
      <c r="B404" s="57"/>
      <c r="C404" s="578"/>
      <c r="D404" s="276"/>
      <c r="E404" s="304"/>
      <c r="F404" s="305"/>
      <c r="G404" s="305"/>
      <c r="H404" s="375"/>
      <c r="I404" s="306" t="s">
        <v>571</v>
      </c>
      <c r="J404" s="307">
        <v>80000</v>
      </c>
      <c r="K404" s="309" t="s">
        <v>539</v>
      </c>
      <c r="L404" s="242" t="s">
        <v>143</v>
      </c>
      <c r="M404" s="514">
        <f>J404*4/1000</f>
        <v>320</v>
      </c>
      <c r="N404" s="583"/>
      <c r="O404" s="584"/>
      <c r="P404" s="584"/>
      <c r="Q404" s="584"/>
      <c r="R404" s="584"/>
      <c r="S404" s="584"/>
      <c r="T404" s="585"/>
      <c r="U404" s="523"/>
      <c r="V404" s="483">
        <f t="shared" si="31"/>
        <v>0</v>
      </c>
    </row>
    <row r="405" spans="1:22" ht="26.25" customHeight="1">
      <c r="A405" s="56"/>
      <c r="B405" s="51"/>
      <c r="C405" s="576"/>
      <c r="D405" s="219"/>
      <c r="E405" s="103"/>
      <c r="F405" s="104"/>
      <c r="G405" s="104"/>
      <c r="H405" s="372"/>
      <c r="I405" s="192" t="s">
        <v>858</v>
      </c>
      <c r="J405" s="250"/>
      <c r="K405" s="135"/>
      <c r="L405" s="54"/>
      <c r="M405" s="444">
        <v>4000</v>
      </c>
      <c r="N405" s="527">
        <v>0</v>
      </c>
      <c r="O405" s="415">
        <v>4000</v>
      </c>
      <c r="P405" s="415">
        <v>0</v>
      </c>
      <c r="Q405" s="415">
        <v>0</v>
      </c>
      <c r="R405" s="415">
        <v>0</v>
      </c>
      <c r="S405" s="415">
        <v>0</v>
      </c>
      <c r="T405" s="416">
        <v>0</v>
      </c>
      <c r="U405" s="523"/>
      <c r="V405" s="483">
        <f t="shared" si="31"/>
        <v>4000</v>
      </c>
    </row>
    <row r="406" spans="1:22" ht="26.25" customHeight="1">
      <c r="A406" s="56"/>
      <c r="B406" s="51"/>
      <c r="C406" s="576"/>
      <c r="D406" s="221"/>
      <c r="E406" s="105"/>
      <c r="F406" s="106"/>
      <c r="G406" s="106"/>
      <c r="H406" s="376"/>
      <c r="I406" s="192" t="s">
        <v>859</v>
      </c>
      <c r="J406" s="250"/>
      <c r="K406" s="135"/>
      <c r="L406" s="49"/>
      <c r="M406" s="444">
        <v>7080</v>
      </c>
      <c r="N406" s="527">
        <v>0</v>
      </c>
      <c r="O406" s="415">
        <v>0</v>
      </c>
      <c r="P406" s="415">
        <v>0</v>
      </c>
      <c r="Q406" s="415">
        <v>7080</v>
      </c>
      <c r="R406" s="415">
        <v>0</v>
      </c>
      <c r="S406" s="415">
        <v>0</v>
      </c>
      <c r="T406" s="416">
        <v>0</v>
      </c>
      <c r="U406" s="523"/>
      <c r="V406" s="483">
        <f t="shared" si="31"/>
        <v>7080</v>
      </c>
    </row>
    <row r="407" spans="1:22" ht="26.25" customHeight="1">
      <c r="A407" s="56"/>
      <c r="B407" s="51"/>
      <c r="C407" s="576"/>
      <c r="D407" s="219" t="s">
        <v>180</v>
      </c>
      <c r="E407" s="103">
        <f>M407</f>
        <v>820</v>
      </c>
      <c r="F407" s="104">
        <v>540</v>
      </c>
      <c r="G407" s="104">
        <f>E407-F407</f>
        <v>280</v>
      </c>
      <c r="H407" s="372">
        <f>G407/F407</f>
        <v>0.5185185185185185</v>
      </c>
      <c r="I407" s="192" t="s">
        <v>696</v>
      </c>
      <c r="J407" s="250"/>
      <c r="K407" s="135"/>
      <c r="L407" s="49"/>
      <c r="M407" s="541">
        <f>SUM(M410:M416)</f>
        <v>820</v>
      </c>
      <c r="N407" s="527">
        <v>0</v>
      </c>
      <c r="O407" s="415">
        <v>410</v>
      </c>
      <c r="P407" s="415">
        <v>410</v>
      </c>
      <c r="Q407" s="415">
        <v>0</v>
      </c>
      <c r="R407" s="415">
        <v>0</v>
      </c>
      <c r="S407" s="415">
        <v>0</v>
      </c>
      <c r="T407" s="416">
        <v>0</v>
      </c>
      <c r="U407" s="523"/>
      <c r="V407" s="483">
        <f t="shared" si="31"/>
        <v>820</v>
      </c>
    </row>
    <row r="408" spans="1:22" ht="26.25" customHeight="1">
      <c r="A408" s="56"/>
      <c r="B408" s="51"/>
      <c r="C408" s="576"/>
      <c r="D408" s="220" t="s">
        <v>165</v>
      </c>
      <c r="E408" s="103"/>
      <c r="F408" s="104"/>
      <c r="G408" s="104"/>
      <c r="H408" s="372"/>
      <c r="I408" s="186" t="s">
        <v>541</v>
      </c>
      <c r="J408" s="250"/>
      <c r="K408" s="135"/>
      <c r="L408" s="49"/>
      <c r="M408" s="538"/>
      <c r="N408" s="527"/>
      <c r="O408" s="496"/>
      <c r="P408" s="496"/>
      <c r="Q408" s="496"/>
      <c r="R408" s="496"/>
      <c r="S408" s="496"/>
      <c r="T408" s="574"/>
      <c r="U408" s="523"/>
      <c r="V408" s="483">
        <f t="shared" si="31"/>
        <v>0</v>
      </c>
    </row>
    <row r="409" spans="1:22" ht="26.25" customHeight="1">
      <c r="A409" s="56"/>
      <c r="B409" s="51"/>
      <c r="C409" s="576"/>
      <c r="D409" s="220"/>
      <c r="E409" s="103"/>
      <c r="F409" s="104"/>
      <c r="G409" s="104"/>
      <c r="H409" s="372"/>
      <c r="I409" s="187" t="s">
        <v>543</v>
      </c>
      <c r="J409" s="251"/>
      <c r="K409" s="136"/>
      <c r="L409" s="55"/>
      <c r="M409" s="442"/>
      <c r="N409" s="527"/>
      <c r="O409" s="496"/>
      <c r="P409" s="496"/>
      <c r="Q409" s="496"/>
      <c r="R409" s="496"/>
      <c r="S409" s="496"/>
      <c r="T409" s="574"/>
      <c r="U409" s="523"/>
      <c r="V409" s="483">
        <f t="shared" si="31"/>
        <v>0</v>
      </c>
    </row>
    <row r="410" spans="1:22" ht="26.25" customHeight="1">
      <c r="A410" s="56"/>
      <c r="B410" s="51"/>
      <c r="C410" s="576"/>
      <c r="D410" s="220"/>
      <c r="E410" s="103"/>
      <c r="F410" s="104"/>
      <c r="G410" s="104"/>
      <c r="H410" s="372"/>
      <c r="I410" s="185" t="s">
        <v>551</v>
      </c>
      <c r="J410" s="249">
        <v>70000</v>
      </c>
      <c r="K410" s="134" t="s">
        <v>466</v>
      </c>
      <c r="L410" s="54" t="s">
        <v>143</v>
      </c>
      <c r="M410" s="443">
        <f>J410*2/1000</f>
        <v>140</v>
      </c>
      <c r="N410" s="527"/>
      <c r="O410" s="496"/>
      <c r="P410" s="496"/>
      <c r="Q410" s="496"/>
      <c r="R410" s="496"/>
      <c r="S410" s="496"/>
      <c r="T410" s="574"/>
      <c r="U410" s="523"/>
      <c r="V410" s="483">
        <f t="shared" si="31"/>
        <v>0</v>
      </c>
    </row>
    <row r="411" spans="1:22" ht="26.25" customHeight="1">
      <c r="A411" s="56"/>
      <c r="B411" s="51"/>
      <c r="C411" s="576"/>
      <c r="D411" s="220"/>
      <c r="E411" s="103"/>
      <c r="F411" s="104"/>
      <c r="G411" s="104"/>
      <c r="H411" s="372"/>
      <c r="I411" s="186" t="s">
        <v>865</v>
      </c>
      <c r="J411" s="250"/>
      <c r="K411" s="135"/>
      <c r="L411" s="49"/>
      <c r="M411" s="538"/>
      <c r="N411" s="527"/>
      <c r="O411" s="496"/>
      <c r="P411" s="496"/>
      <c r="Q411" s="496"/>
      <c r="R411" s="496"/>
      <c r="S411" s="496"/>
      <c r="T411" s="574"/>
      <c r="U411" s="523"/>
      <c r="V411" s="483">
        <f t="shared" si="31"/>
        <v>0</v>
      </c>
    </row>
    <row r="412" spans="1:22" ht="26.25" customHeight="1">
      <c r="A412" s="56"/>
      <c r="B412" s="51"/>
      <c r="C412" s="576"/>
      <c r="D412" s="220"/>
      <c r="E412" s="103"/>
      <c r="F412" s="104"/>
      <c r="G412" s="104"/>
      <c r="H412" s="372"/>
      <c r="I412" s="186" t="s">
        <v>552</v>
      </c>
      <c r="J412" s="250"/>
      <c r="K412" s="135"/>
      <c r="L412" s="49"/>
      <c r="M412" s="444"/>
      <c r="N412" s="527"/>
      <c r="O412" s="496"/>
      <c r="P412" s="496"/>
      <c r="Q412" s="496"/>
      <c r="R412" s="496"/>
      <c r="S412" s="496"/>
      <c r="T412" s="574"/>
      <c r="U412" s="523"/>
      <c r="V412" s="483">
        <f t="shared" si="31"/>
        <v>0</v>
      </c>
    </row>
    <row r="413" spans="1:22" ht="26.25" customHeight="1">
      <c r="A413" s="56"/>
      <c r="B413" s="51"/>
      <c r="C413" s="576"/>
      <c r="D413" s="220"/>
      <c r="E413" s="103"/>
      <c r="F413" s="104"/>
      <c r="G413" s="104"/>
      <c r="H413" s="372"/>
      <c r="I413" s="186" t="s">
        <v>553</v>
      </c>
      <c r="J413" s="250">
        <v>100000</v>
      </c>
      <c r="K413" s="135" t="s">
        <v>860</v>
      </c>
      <c r="L413" s="49" t="s">
        <v>143</v>
      </c>
      <c r="M413" s="444">
        <f>J413*3/1000</f>
        <v>300</v>
      </c>
      <c r="N413" s="527"/>
      <c r="O413" s="496"/>
      <c r="P413" s="496"/>
      <c r="Q413" s="496"/>
      <c r="R413" s="496"/>
      <c r="S413" s="496"/>
      <c r="T413" s="574"/>
      <c r="U413" s="523"/>
      <c r="V413" s="483">
        <f t="shared" si="31"/>
        <v>0</v>
      </c>
    </row>
    <row r="414" spans="1:22" ht="26.25" customHeight="1">
      <c r="A414" s="56"/>
      <c r="B414" s="51"/>
      <c r="C414" s="576"/>
      <c r="D414" s="220"/>
      <c r="E414" s="103"/>
      <c r="F414" s="104"/>
      <c r="G414" s="104"/>
      <c r="H414" s="372"/>
      <c r="I414" s="185" t="s">
        <v>542</v>
      </c>
      <c r="J414" s="249"/>
      <c r="K414" s="134"/>
      <c r="L414" s="54"/>
      <c r="M414" s="536"/>
      <c r="N414" s="625"/>
      <c r="O414" s="626"/>
      <c r="P414" s="626"/>
      <c r="Q414" s="626"/>
      <c r="R414" s="626"/>
      <c r="S414" s="626"/>
      <c r="T414" s="627"/>
      <c r="U414" s="523"/>
      <c r="V414" s="483">
        <f t="shared" si="31"/>
        <v>0</v>
      </c>
    </row>
    <row r="415" spans="1:22" ht="26.25" customHeight="1">
      <c r="A415" s="56"/>
      <c r="B415" s="51"/>
      <c r="C415" s="576"/>
      <c r="D415" s="220"/>
      <c r="E415" s="103"/>
      <c r="F415" s="104"/>
      <c r="G415" s="104"/>
      <c r="H415" s="372"/>
      <c r="I415" s="186" t="s">
        <v>554</v>
      </c>
      <c r="J415" s="250">
        <v>90000</v>
      </c>
      <c r="K415" s="135" t="s">
        <v>466</v>
      </c>
      <c r="L415" s="49" t="s">
        <v>143</v>
      </c>
      <c r="M415" s="444">
        <f>J415*2/1000</f>
        <v>180</v>
      </c>
      <c r="N415" s="527"/>
      <c r="O415" s="496"/>
      <c r="P415" s="496"/>
      <c r="Q415" s="496"/>
      <c r="R415" s="496"/>
      <c r="S415" s="496"/>
      <c r="T415" s="574"/>
      <c r="U415" s="523"/>
      <c r="V415" s="483">
        <f t="shared" si="31"/>
        <v>0</v>
      </c>
    </row>
    <row r="416" spans="1:22" ht="26.25" customHeight="1">
      <c r="A416" s="56"/>
      <c r="B416" s="51"/>
      <c r="C416" s="576"/>
      <c r="D416" s="219"/>
      <c r="E416" s="103"/>
      <c r="F416" s="104"/>
      <c r="G416" s="104"/>
      <c r="H416" s="372"/>
      <c r="I416" s="186" t="s">
        <v>554</v>
      </c>
      <c r="J416" s="250">
        <v>100000</v>
      </c>
      <c r="K416" s="135" t="s">
        <v>466</v>
      </c>
      <c r="L416" s="49" t="s">
        <v>143</v>
      </c>
      <c r="M416" s="444">
        <f>J416*2/1000</f>
        <v>200</v>
      </c>
      <c r="N416" s="528"/>
      <c r="O416" s="504"/>
      <c r="P416" s="504"/>
      <c r="Q416" s="504"/>
      <c r="R416" s="504"/>
      <c r="S416" s="504"/>
      <c r="T416" s="575"/>
      <c r="U416" s="523"/>
      <c r="V416" s="483">
        <f t="shared" si="31"/>
        <v>0</v>
      </c>
    </row>
    <row r="417" spans="2:22" ht="26.25" customHeight="1">
      <c r="B417" s="682" t="s">
        <v>217</v>
      </c>
      <c r="C417" s="683"/>
      <c r="D417" s="684"/>
      <c r="E417" s="107"/>
      <c r="F417" s="108"/>
      <c r="G417" s="108"/>
      <c r="H417" s="370"/>
      <c r="I417" s="191"/>
      <c r="J417" s="259"/>
      <c r="K417" s="138"/>
      <c r="L417" s="58"/>
      <c r="M417" s="445"/>
      <c r="N417" s="525">
        <f aca="true" t="shared" si="32" ref="N417:T417">N418+N463+N474</f>
        <v>0</v>
      </c>
      <c r="O417" s="437">
        <f t="shared" si="32"/>
        <v>0</v>
      </c>
      <c r="P417" s="437">
        <f t="shared" si="32"/>
        <v>0</v>
      </c>
      <c r="Q417" s="437">
        <f t="shared" si="32"/>
        <v>0</v>
      </c>
      <c r="R417" s="437">
        <f t="shared" si="32"/>
        <v>0</v>
      </c>
      <c r="S417" s="437">
        <f t="shared" si="32"/>
        <v>0</v>
      </c>
      <c r="T417" s="466">
        <f t="shared" si="32"/>
        <v>0</v>
      </c>
      <c r="U417" s="523"/>
      <c r="V417" s="483">
        <f t="shared" si="31"/>
        <v>0</v>
      </c>
    </row>
    <row r="418" spans="2:22" ht="26.25" customHeight="1">
      <c r="B418" s="57"/>
      <c r="C418" s="705" t="s">
        <v>218</v>
      </c>
      <c r="D418" s="689"/>
      <c r="E418" s="99"/>
      <c r="F418" s="100"/>
      <c r="G418" s="100"/>
      <c r="H418" s="369"/>
      <c r="I418" s="183"/>
      <c r="J418" s="247"/>
      <c r="K418" s="132"/>
      <c r="L418" s="62"/>
      <c r="M418" s="441"/>
      <c r="N418" s="520">
        <f aca="true" t="shared" si="33" ref="N418:T418">SUM(N420+N425+N429+N433+N438+N441+N451+N454+N460)</f>
        <v>0</v>
      </c>
      <c r="O418" s="399">
        <f t="shared" si="33"/>
        <v>0</v>
      </c>
      <c r="P418" s="399">
        <f t="shared" si="33"/>
        <v>0</v>
      </c>
      <c r="Q418" s="399">
        <v>0</v>
      </c>
      <c r="R418" s="399">
        <v>0</v>
      </c>
      <c r="S418" s="399">
        <f t="shared" si="33"/>
        <v>0</v>
      </c>
      <c r="T418" s="400">
        <f t="shared" si="33"/>
        <v>0</v>
      </c>
      <c r="U418" s="523"/>
      <c r="V418" s="483">
        <f t="shared" si="31"/>
        <v>0</v>
      </c>
    </row>
    <row r="419" spans="2:22" ht="26.25" customHeight="1">
      <c r="B419" s="52"/>
      <c r="C419" s="577"/>
      <c r="D419" s="543" t="s">
        <v>181</v>
      </c>
      <c r="E419" s="109"/>
      <c r="F419" s="110"/>
      <c r="G419" s="110"/>
      <c r="H419" s="374"/>
      <c r="I419" s="564"/>
      <c r="J419" s="545"/>
      <c r="K419" s="648"/>
      <c r="L419" s="456"/>
      <c r="M419" s="457"/>
      <c r="N419" s="528"/>
      <c r="O419" s="504"/>
      <c r="P419" s="504"/>
      <c r="Q419" s="504"/>
      <c r="R419" s="504"/>
      <c r="S419" s="504"/>
      <c r="T419" s="575"/>
      <c r="U419" s="523"/>
      <c r="V419" s="483">
        <f t="shared" si="31"/>
        <v>0</v>
      </c>
    </row>
    <row r="420" spans="2:22" ht="26.25" customHeight="1">
      <c r="B420" s="516"/>
      <c r="C420" s="649"/>
      <c r="D420" s="650" t="s">
        <v>166</v>
      </c>
      <c r="E420" s="304"/>
      <c r="F420" s="305"/>
      <c r="G420" s="305"/>
      <c r="H420" s="375"/>
      <c r="I420" s="306"/>
      <c r="J420" s="307"/>
      <c r="K420" s="309"/>
      <c r="L420" s="61"/>
      <c r="M420" s="446"/>
      <c r="N420" s="651"/>
      <c r="O420" s="652"/>
      <c r="P420" s="652"/>
      <c r="Q420" s="652"/>
      <c r="R420" s="652"/>
      <c r="S420" s="652"/>
      <c r="T420" s="653"/>
      <c r="U420" s="523"/>
      <c r="V420" s="483">
        <f t="shared" si="31"/>
        <v>0</v>
      </c>
    </row>
    <row r="421" spans="2:22" ht="26.25" customHeight="1">
      <c r="B421" s="682" t="s">
        <v>219</v>
      </c>
      <c r="C421" s="683"/>
      <c r="D421" s="684"/>
      <c r="E421" s="107"/>
      <c r="F421" s="108"/>
      <c r="G421" s="108"/>
      <c r="H421" s="370"/>
      <c r="I421" s="191"/>
      <c r="J421" s="259"/>
      <c r="K421" s="138"/>
      <c r="L421" s="58"/>
      <c r="M421" s="445"/>
      <c r="N421" s="525">
        <f aca="true" t="shared" si="34" ref="N421:T421">N422+N467+N478</f>
        <v>0</v>
      </c>
      <c r="O421" s="437">
        <f t="shared" si="34"/>
        <v>0</v>
      </c>
      <c r="P421" s="437">
        <f t="shared" si="34"/>
        <v>0</v>
      </c>
      <c r="Q421" s="437">
        <f t="shared" si="34"/>
        <v>0</v>
      </c>
      <c r="R421" s="437">
        <f t="shared" si="34"/>
        <v>0</v>
      </c>
      <c r="S421" s="437">
        <f t="shared" si="34"/>
        <v>0</v>
      </c>
      <c r="T421" s="466">
        <f t="shared" si="34"/>
        <v>0</v>
      </c>
      <c r="U421" s="523"/>
      <c r="V421" s="483">
        <f t="shared" si="31"/>
        <v>0</v>
      </c>
    </row>
    <row r="422" spans="2:22" ht="26.25" customHeight="1">
      <c r="B422" s="57"/>
      <c r="C422" s="705" t="s">
        <v>220</v>
      </c>
      <c r="D422" s="689"/>
      <c r="E422" s="99"/>
      <c r="F422" s="100"/>
      <c r="G422" s="100"/>
      <c r="H422" s="369"/>
      <c r="I422" s="183"/>
      <c r="J422" s="247"/>
      <c r="K422" s="132"/>
      <c r="L422" s="62"/>
      <c r="M422" s="441"/>
      <c r="N422" s="520">
        <f aca="true" t="shared" si="35" ref="N422:T422">SUM(N424+N429+N433+N437+N442+N445+N455+N458+N464)</f>
        <v>0</v>
      </c>
      <c r="O422" s="399">
        <f t="shared" si="35"/>
        <v>0</v>
      </c>
      <c r="P422" s="399">
        <f t="shared" si="35"/>
        <v>0</v>
      </c>
      <c r="Q422" s="399">
        <f t="shared" si="35"/>
        <v>0</v>
      </c>
      <c r="R422" s="399">
        <f t="shared" si="35"/>
        <v>0</v>
      </c>
      <c r="S422" s="399">
        <f t="shared" si="35"/>
        <v>0</v>
      </c>
      <c r="T422" s="400">
        <f t="shared" si="35"/>
        <v>0</v>
      </c>
      <c r="U422" s="523"/>
      <c r="V422" s="483">
        <f t="shared" si="31"/>
        <v>0</v>
      </c>
    </row>
    <row r="423" spans="2:22" ht="26.25" customHeight="1">
      <c r="B423" s="51"/>
      <c r="C423" s="576"/>
      <c r="D423" s="219" t="s">
        <v>182</v>
      </c>
      <c r="E423" s="103"/>
      <c r="F423" s="104"/>
      <c r="G423" s="104"/>
      <c r="H423" s="372"/>
      <c r="I423" s="192"/>
      <c r="J423" s="256"/>
      <c r="K423" s="134"/>
      <c r="L423" s="54"/>
      <c r="M423" s="443"/>
      <c r="N423" s="527"/>
      <c r="O423" s="496"/>
      <c r="P423" s="496"/>
      <c r="Q423" s="496"/>
      <c r="R423" s="496"/>
      <c r="S423" s="496"/>
      <c r="T423" s="574"/>
      <c r="U423" s="523"/>
      <c r="V423" s="483">
        <f t="shared" si="31"/>
        <v>0</v>
      </c>
    </row>
    <row r="424" spans="2:22" ht="26.25" customHeight="1">
      <c r="B424" s="52"/>
      <c r="C424" s="576"/>
      <c r="D424" s="220" t="s">
        <v>167</v>
      </c>
      <c r="E424" s="103"/>
      <c r="F424" s="104"/>
      <c r="G424" s="104"/>
      <c r="H424" s="372"/>
      <c r="I424" s="186"/>
      <c r="J424" s="250"/>
      <c r="K424" s="135"/>
      <c r="L424" s="49"/>
      <c r="M424" s="444"/>
      <c r="N424" s="528"/>
      <c r="O424" s="504"/>
      <c r="P424" s="504"/>
      <c r="Q424" s="504"/>
      <c r="R424" s="504"/>
      <c r="S424" s="504"/>
      <c r="T424" s="575"/>
      <c r="U424" s="523"/>
      <c r="V424" s="483">
        <f t="shared" si="31"/>
        <v>0</v>
      </c>
    </row>
    <row r="425" spans="2:22" ht="26.25" customHeight="1">
      <c r="B425" s="682" t="s">
        <v>221</v>
      </c>
      <c r="C425" s="683"/>
      <c r="D425" s="684"/>
      <c r="E425" s="107"/>
      <c r="F425" s="108"/>
      <c r="G425" s="108"/>
      <c r="H425" s="370"/>
      <c r="I425" s="191"/>
      <c r="J425" s="259"/>
      <c r="K425" s="138"/>
      <c r="L425" s="58"/>
      <c r="M425" s="445"/>
      <c r="N425" s="525">
        <f aca="true" t="shared" si="36" ref="N425:T425">N426+N471+N482</f>
        <v>0</v>
      </c>
      <c r="O425" s="437">
        <f t="shared" si="36"/>
        <v>0</v>
      </c>
      <c r="P425" s="437">
        <f t="shared" si="36"/>
        <v>0</v>
      </c>
      <c r="Q425" s="437">
        <f t="shared" si="36"/>
        <v>0</v>
      </c>
      <c r="R425" s="437">
        <f t="shared" si="36"/>
        <v>0</v>
      </c>
      <c r="S425" s="437">
        <f t="shared" si="36"/>
        <v>0</v>
      </c>
      <c r="T425" s="466">
        <f t="shared" si="36"/>
        <v>0</v>
      </c>
      <c r="U425" s="523"/>
      <c r="V425" s="483">
        <f t="shared" si="31"/>
        <v>0</v>
      </c>
    </row>
    <row r="426" spans="2:22" ht="26.25" customHeight="1">
      <c r="B426" s="57"/>
      <c r="C426" s="705" t="s">
        <v>222</v>
      </c>
      <c r="D426" s="689"/>
      <c r="E426" s="99"/>
      <c r="F426" s="100"/>
      <c r="G426" s="100"/>
      <c r="H426" s="369"/>
      <c r="I426" s="183"/>
      <c r="J426" s="247"/>
      <c r="K426" s="132"/>
      <c r="L426" s="62"/>
      <c r="M426" s="441"/>
      <c r="N426" s="520">
        <f aca="true" t="shared" si="37" ref="N426:T426">SUM(N428+N433+N437+N441+N446+N449+N459+N462+N468)</f>
        <v>0</v>
      </c>
      <c r="O426" s="399">
        <f t="shared" si="37"/>
        <v>0</v>
      </c>
      <c r="P426" s="399">
        <f t="shared" si="37"/>
        <v>0</v>
      </c>
      <c r="Q426" s="399">
        <f t="shared" si="37"/>
        <v>0</v>
      </c>
      <c r="R426" s="399">
        <f t="shared" si="37"/>
        <v>0</v>
      </c>
      <c r="S426" s="399">
        <f t="shared" si="37"/>
        <v>0</v>
      </c>
      <c r="T426" s="400">
        <f t="shared" si="37"/>
        <v>0</v>
      </c>
      <c r="U426" s="523"/>
      <c r="V426" s="483">
        <f t="shared" si="31"/>
        <v>0</v>
      </c>
    </row>
    <row r="427" spans="2:22" ht="26.25" customHeight="1">
      <c r="B427" s="51"/>
      <c r="C427" s="576"/>
      <c r="D427" s="630" t="s">
        <v>183</v>
      </c>
      <c r="E427" s="558"/>
      <c r="F427" s="559"/>
      <c r="G427" s="559"/>
      <c r="H427" s="560"/>
      <c r="I427" s="556"/>
      <c r="J427" s="586"/>
      <c r="K427" s="309"/>
      <c r="L427" s="242"/>
      <c r="M427" s="514"/>
      <c r="N427" s="583"/>
      <c r="O427" s="584"/>
      <c r="P427" s="584"/>
      <c r="Q427" s="584"/>
      <c r="R427" s="584"/>
      <c r="S427" s="584"/>
      <c r="T427" s="585"/>
      <c r="U427" s="523"/>
      <c r="V427" s="483">
        <f t="shared" si="31"/>
        <v>0</v>
      </c>
    </row>
    <row r="428" spans="2:22" ht="26.25" customHeight="1">
      <c r="B428" s="51"/>
      <c r="C428" s="576"/>
      <c r="D428" s="221" t="s">
        <v>168</v>
      </c>
      <c r="E428" s="105"/>
      <c r="F428" s="106"/>
      <c r="G428" s="106"/>
      <c r="H428" s="376"/>
      <c r="I428" s="185"/>
      <c r="J428" s="249"/>
      <c r="K428" s="134"/>
      <c r="L428" s="54"/>
      <c r="M428" s="443"/>
      <c r="N428" s="625"/>
      <c r="O428" s="626"/>
      <c r="P428" s="626"/>
      <c r="Q428" s="626"/>
      <c r="R428" s="626"/>
      <c r="S428" s="626"/>
      <c r="T428" s="627"/>
      <c r="U428" s="523"/>
      <c r="V428" s="483">
        <f t="shared" si="31"/>
        <v>0</v>
      </c>
    </row>
    <row r="429" spans="2:22" ht="26.25" customHeight="1">
      <c r="B429" s="51"/>
      <c r="C429" s="576"/>
      <c r="D429" s="222" t="s">
        <v>207</v>
      </c>
      <c r="E429" s="101"/>
      <c r="F429" s="102"/>
      <c r="G429" s="102"/>
      <c r="H429" s="373"/>
      <c r="I429" s="192"/>
      <c r="J429" s="260"/>
      <c r="K429" s="135"/>
      <c r="L429" s="49"/>
      <c r="M429" s="444"/>
      <c r="N429" s="527"/>
      <c r="O429" s="496"/>
      <c r="P429" s="496"/>
      <c r="Q429" s="496"/>
      <c r="R429" s="496"/>
      <c r="S429" s="496"/>
      <c r="T429" s="574"/>
      <c r="U429" s="523"/>
      <c r="V429" s="483">
        <f t="shared" si="31"/>
        <v>0</v>
      </c>
    </row>
    <row r="430" spans="2:22" ht="26.25" customHeight="1">
      <c r="B430" s="52"/>
      <c r="C430" s="577"/>
      <c r="D430" s="223" t="s">
        <v>169</v>
      </c>
      <c r="E430" s="103"/>
      <c r="F430" s="104"/>
      <c r="G430" s="104"/>
      <c r="H430" s="372"/>
      <c r="I430" s="187"/>
      <c r="J430" s="251"/>
      <c r="K430" s="136"/>
      <c r="L430" s="55"/>
      <c r="M430" s="442"/>
      <c r="N430" s="528"/>
      <c r="O430" s="504"/>
      <c r="P430" s="504"/>
      <c r="Q430" s="504"/>
      <c r="R430" s="504"/>
      <c r="S430" s="504"/>
      <c r="T430" s="575"/>
      <c r="U430" s="523"/>
      <c r="V430" s="483">
        <f t="shared" si="31"/>
        <v>0</v>
      </c>
    </row>
    <row r="431" spans="2:22" ht="26.25" customHeight="1">
      <c r="B431" s="682" t="s">
        <v>223</v>
      </c>
      <c r="C431" s="683"/>
      <c r="D431" s="684"/>
      <c r="E431" s="107"/>
      <c r="F431" s="108"/>
      <c r="G431" s="108"/>
      <c r="H431" s="370"/>
      <c r="I431" s="191"/>
      <c r="J431" s="259"/>
      <c r="K431" s="138"/>
      <c r="L431" s="58"/>
      <c r="M431" s="445"/>
      <c r="N431" s="525">
        <f aca="true" t="shared" si="38" ref="N431:T431">N432+N477+N488</f>
        <v>0</v>
      </c>
      <c r="O431" s="437">
        <f t="shared" si="38"/>
        <v>0</v>
      </c>
      <c r="P431" s="437">
        <f t="shared" si="38"/>
        <v>0</v>
      </c>
      <c r="Q431" s="437">
        <f t="shared" si="38"/>
        <v>0</v>
      </c>
      <c r="R431" s="437">
        <f t="shared" si="38"/>
        <v>0</v>
      </c>
      <c r="S431" s="437">
        <f t="shared" si="38"/>
        <v>0</v>
      </c>
      <c r="T431" s="466">
        <f t="shared" si="38"/>
        <v>0</v>
      </c>
      <c r="U431" s="523"/>
      <c r="V431" s="483">
        <f t="shared" si="31"/>
        <v>0</v>
      </c>
    </row>
    <row r="432" spans="2:22" ht="26.25" customHeight="1">
      <c r="B432" s="57"/>
      <c r="C432" s="705" t="s">
        <v>224</v>
      </c>
      <c r="D432" s="689"/>
      <c r="E432" s="99"/>
      <c r="F432" s="100"/>
      <c r="G432" s="100"/>
      <c r="H432" s="369"/>
      <c r="I432" s="183"/>
      <c r="J432" s="247"/>
      <c r="K432" s="132"/>
      <c r="L432" s="62"/>
      <c r="M432" s="441"/>
      <c r="N432" s="520">
        <f aca="true" t="shared" si="39" ref="N432:T432">SUM(N434+N439+N443+N447+N452+N455+N465+N468+N474)</f>
        <v>0</v>
      </c>
      <c r="O432" s="399">
        <f t="shared" si="39"/>
        <v>0</v>
      </c>
      <c r="P432" s="399">
        <f t="shared" si="39"/>
        <v>0</v>
      </c>
      <c r="Q432" s="399">
        <f t="shared" si="39"/>
        <v>0</v>
      </c>
      <c r="R432" s="399">
        <f t="shared" si="39"/>
        <v>0</v>
      </c>
      <c r="S432" s="399">
        <f t="shared" si="39"/>
        <v>0</v>
      </c>
      <c r="T432" s="400">
        <f t="shared" si="39"/>
        <v>0</v>
      </c>
      <c r="U432" s="523"/>
      <c r="V432" s="483">
        <f t="shared" si="31"/>
        <v>0</v>
      </c>
    </row>
    <row r="433" spans="2:22" ht="26.25" customHeight="1">
      <c r="B433" s="51"/>
      <c r="C433" s="576"/>
      <c r="D433" s="630" t="s">
        <v>184</v>
      </c>
      <c r="E433" s="558"/>
      <c r="F433" s="559"/>
      <c r="G433" s="559"/>
      <c r="H433" s="560"/>
      <c r="I433" s="556"/>
      <c r="J433" s="256"/>
      <c r="K433" s="134"/>
      <c r="L433" s="54"/>
      <c r="M433" s="443"/>
      <c r="N433" s="527"/>
      <c r="O433" s="496"/>
      <c r="P433" s="496"/>
      <c r="Q433" s="496"/>
      <c r="R433" s="496"/>
      <c r="S433" s="496"/>
      <c r="T433" s="574"/>
      <c r="U433" s="523"/>
      <c r="V433" s="483">
        <f t="shared" si="31"/>
        <v>0</v>
      </c>
    </row>
    <row r="434" spans="2:22" ht="26.25" customHeight="1">
      <c r="B434" s="52"/>
      <c r="C434" s="576"/>
      <c r="D434" s="220" t="s">
        <v>170</v>
      </c>
      <c r="E434" s="103"/>
      <c r="F434" s="104"/>
      <c r="G434" s="110"/>
      <c r="H434" s="374"/>
      <c r="I434" s="185"/>
      <c r="J434" s="250"/>
      <c r="K434" s="135"/>
      <c r="L434" s="49"/>
      <c r="M434" s="444"/>
      <c r="N434" s="528"/>
      <c r="O434" s="504"/>
      <c r="P434" s="504"/>
      <c r="Q434" s="504"/>
      <c r="R434" s="504"/>
      <c r="S434" s="504"/>
      <c r="T434" s="575"/>
      <c r="U434" s="523"/>
      <c r="V434" s="483">
        <f t="shared" si="31"/>
        <v>0</v>
      </c>
    </row>
    <row r="435" spans="2:22" ht="26.25" customHeight="1">
      <c r="B435" s="682" t="s">
        <v>225</v>
      </c>
      <c r="C435" s="683"/>
      <c r="D435" s="684"/>
      <c r="E435" s="107">
        <f>E436</f>
        <v>8416</v>
      </c>
      <c r="F435" s="107">
        <f>F436</f>
        <v>594</v>
      </c>
      <c r="G435" s="98">
        <f>E435-F435</f>
        <v>7822</v>
      </c>
      <c r="H435" s="371">
        <f>G435/F435</f>
        <v>13.168350168350168</v>
      </c>
      <c r="I435" s="191"/>
      <c r="J435" s="259"/>
      <c r="K435" s="138"/>
      <c r="L435" s="58"/>
      <c r="M435" s="445">
        <f>M436</f>
        <v>8416</v>
      </c>
      <c r="N435" s="525">
        <f aca="true" t="shared" si="40" ref="N435:T435">N436+N481+N492</f>
        <v>0</v>
      </c>
      <c r="O435" s="437">
        <f t="shared" si="40"/>
        <v>0</v>
      </c>
      <c r="P435" s="437">
        <f t="shared" si="40"/>
        <v>0</v>
      </c>
      <c r="Q435" s="437">
        <f t="shared" si="40"/>
        <v>4318</v>
      </c>
      <c r="R435" s="437">
        <f t="shared" si="40"/>
        <v>4098</v>
      </c>
      <c r="S435" s="437">
        <f t="shared" si="40"/>
        <v>0</v>
      </c>
      <c r="T435" s="466">
        <f t="shared" si="40"/>
        <v>0</v>
      </c>
      <c r="U435" s="523"/>
      <c r="V435" s="483">
        <f t="shared" si="31"/>
        <v>8416</v>
      </c>
    </row>
    <row r="436" spans="2:22" ht="26.25" customHeight="1">
      <c r="B436" s="57"/>
      <c r="C436" s="705" t="s">
        <v>226</v>
      </c>
      <c r="D436" s="689"/>
      <c r="E436" s="99">
        <f>E437</f>
        <v>8416</v>
      </c>
      <c r="F436" s="99">
        <f>F437</f>
        <v>594</v>
      </c>
      <c r="G436" s="315">
        <f>E436-F436</f>
        <v>7822</v>
      </c>
      <c r="H436" s="368">
        <f>G436/F436</f>
        <v>13.168350168350168</v>
      </c>
      <c r="I436" s="183"/>
      <c r="J436" s="247"/>
      <c r="K436" s="132"/>
      <c r="L436" s="62"/>
      <c r="M436" s="441">
        <v>8416</v>
      </c>
      <c r="N436" s="520">
        <f aca="true" t="shared" si="41" ref="N436:T436">SUM(N438+N443+N447+N451+N456+N459+N469+N472+N478)</f>
        <v>0</v>
      </c>
      <c r="O436" s="399">
        <f t="shared" si="41"/>
        <v>0</v>
      </c>
      <c r="P436" s="399">
        <f t="shared" si="41"/>
        <v>0</v>
      </c>
      <c r="Q436" s="399">
        <v>4318</v>
      </c>
      <c r="R436" s="399">
        <v>4098</v>
      </c>
      <c r="S436" s="399">
        <f t="shared" si="41"/>
        <v>0</v>
      </c>
      <c r="T436" s="400">
        <f t="shared" si="41"/>
        <v>0</v>
      </c>
      <c r="U436" s="523"/>
      <c r="V436" s="483">
        <f t="shared" si="31"/>
        <v>8416</v>
      </c>
    </row>
    <row r="437" spans="2:22" ht="26.25" customHeight="1">
      <c r="B437" s="51"/>
      <c r="C437" s="576"/>
      <c r="D437" s="630" t="s">
        <v>185</v>
      </c>
      <c r="E437" s="558">
        <f>M438</f>
        <v>8416</v>
      </c>
      <c r="F437" s="559">
        <v>594</v>
      </c>
      <c r="G437" s="559">
        <f>E437-F437</f>
        <v>7822</v>
      </c>
      <c r="H437" s="560">
        <f>G437/F437</f>
        <v>13.168350168350168</v>
      </c>
      <c r="I437" s="631"/>
      <c r="J437" s="632"/>
      <c r="K437" s="633"/>
      <c r="L437" s="242"/>
      <c r="M437" s="514"/>
      <c r="N437" s="527"/>
      <c r="O437" s="496"/>
      <c r="P437" s="496"/>
      <c r="Q437" s="496"/>
      <c r="R437" s="496"/>
      <c r="S437" s="496"/>
      <c r="T437" s="574"/>
      <c r="U437" s="523"/>
      <c r="V437" s="483">
        <f t="shared" si="31"/>
        <v>0</v>
      </c>
    </row>
    <row r="438" spans="2:22" ht="39" customHeight="1">
      <c r="B438" s="51"/>
      <c r="C438" s="579"/>
      <c r="D438" s="221" t="s">
        <v>171</v>
      </c>
      <c r="E438" s="105"/>
      <c r="F438" s="106"/>
      <c r="G438" s="106"/>
      <c r="H438" s="376"/>
      <c r="I438" s="670" t="s">
        <v>937</v>
      </c>
      <c r="J438" s="671"/>
      <c r="K438" s="672"/>
      <c r="L438" s="673"/>
      <c r="M438" s="674">
        <v>8416</v>
      </c>
      <c r="N438" s="527">
        <v>0</v>
      </c>
      <c r="O438" s="415">
        <v>0</v>
      </c>
      <c r="P438" s="415">
        <v>0</v>
      </c>
      <c r="Q438" s="415">
        <v>4318</v>
      </c>
      <c r="R438" s="415">
        <v>4098</v>
      </c>
      <c r="S438" s="415">
        <v>0</v>
      </c>
      <c r="T438" s="416">
        <v>0</v>
      </c>
      <c r="U438" s="523"/>
      <c r="V438" s="483">
        <f t="shared" si="31"/>
        <v>8416</v>
      </c>
    </row>
    <row r="439" spans="2:22" ht="26.25" customHeight="1">
      <c r="B439" s="52"/>
      <c r="C439" s="577"/>
      <c r="D439" s="543"/>
      <c r="E439" s="109"/>
      <c r="F439" s="110"/>
      <c r="G439" s="110"/>
      <c r="H439" s="374"/>
      <c r="I439" s="544"/>
      <c r="J439" s="545"/>
      <c r="K439" s="546"/>
      <c r="L439" s="308"/>
      <c r="M439" s="448"/>
      <c r="N439" s="528"/>
      <c r="O439" s="504"/>
      <c r="P439" s="504"/>
      <c r="Q439" s="504"/>
      <c r="R439" s="504"/>
      <c r="S439" s="504"/>
      <c r="T439" s="575"/>
      <c r="U439" s="573"/>
      <c r="V439" s="483">
        <f t="shared" si="31"/>
        <v>0</v>
      </c>
    </row>
    <row r="440" spans="2:22" s="56" customFormat="1" ht="13.5">
      <c r="B440" s="36"/>
      <c r="C440" s="36"/>
      <c r="D440" s="225"/>
      <c r="E440" s="111"/>
      <c r="F440" s="112"/>
      <c r="G440" s="112"/>
      <c r="H440" s="377"/>
      <c r="I440" s="140"/>
      <c r="J440" s="258"/>
      <c r="K440" s="140"/>
      <c r="L440" s="28"/>
      <c r="M440" s="320"/>
      <c r="N440"/>
      <c r="O440"/>
      <c r="P440"/>
      <c r="Q440"/>
      <c r="R440"/>
      <c r="S440"/>
      <c r="T440"/>
      <c r="U440"/>
      <c r="V440"/>
    </row>
    <row r="441" spans="2:22" s="56" customFormat="1" ht="13.5">
      <c r="B441" s="36"/>
      <c r="C441" s="36"/>
      <c r="D441" s="225"/>
      <c r="E441" s="111"/>
      <c r="F441" s="112"/>
      <c r="G441" s="112"/>
      <c r="H441" s="377"/>
      <c r="I441" s="140"/>
      <c r="J441" s="258"/>
      <c r="K441" s="140"/>
      <c r="L441" s="28"/>
      <c r="M441" s="320"/>
      <c r="N441"/>
      <c r="O441"/>
      <c r="P441"/>
      <c r="Q441"/>
      <c r="R441"/>
      <c r="S441"/>
      <c r="T441"/>
      <c r="U441"/>
      <c r="V441"/>
    </row>
    <row r="442" spans="2:22" s="56" customFormat="1" ht="31.5" customHeight="1" hidden="1">
      <c r="B442" s="36"/>
      <c r="C442" s="36"/>
      <c r="D442" s="225"/>
      <c r="E442" s="111"/>
      <c r="F442" s="112"/>
      <c r="G442" s="112"/>
      <c r="H442" s="377"/>
      <c r="I442" s="140"/>
      <c r="J442" s="258"/>
      <c r="K442" s="140"/>
      <c r="L442" s="28"/>
      <c r="M442" s="320"/>
      <c r="N442"/>
      <c r="O442"/>
      <c r="P442"/>
      <c r="Q442"/>
      <c r="R442"/>
      <c r="S442"/>
      <c r="T442"/>
      <c r="U442"/>
      <c r="V442"/>
    </row>
    <row r="443" spans="2:22" s="56" customFormat="1" ht="13.5" hidden="1">
      <c r="B443" s="36"/>
      <c r="C443" s="36"/>
      <c r="D443" s="225"/>
      <c r="E443" s="111"/>
      <c r="F443" s="112"/>
      <c r="G443" s="112"/>
      <c r="H443" s="377"/>
      <c r="I443" s="140"/>
      <c r="J443" s="258"/>
      <c r="K443" s="140"/>
      <c r="L443" s="28"/>
      <c r="M443" s="320"/>
      <c r="N443"/>
      <c r="O443"/>
      <c r="P443"/>
      <c r="Q443"/>
      <c r="R443"/>
      <c r="S443"/>
      <c r="T443"/>
      <c r="U443"/>
      <c r="V443"/>
    </row>
    <row r="444" spans="2:22" s="56" customFormat="1" ht="13.5" hidden="1">
      <c r="B444" s="36"/>
      <c r="C444" s="36"/>
      <c r="D444" s="225"/>
      <c r="E444" s="111"/>
      <c r="F444" s="112"/>
      <c r="G444" s="112"/>
      <c r="H444" s="377"/>
      <c r="I444" s="140"/>
      <c r="J444" s="258"/>
      <c r="K444" s="140"/>
      <c r="L444" s="28"/>
      <c r="M444" s="320"/>
      <c r="N444"/>
      <c r="O444"/>
      <c r="P444"/>
      <c r="Q444"/>
      <c r="R444"/>
      <c r="S444"/>
      <c r="T444"/>
      <c r="U444"/>
      <c r="V444"/>
    </row>
    <row r="445" spans="2:22" s="56" customFormat="1" ht="13.5" hidden="1">
      <c r="B445" s="36"/>
      <c r="C445" s="36"/>
      <c r="D445" s="225"/>
      <c r="E445" s="111"/>
      <c r="F445" s="112"/>
      <c r="G445" s="112"/>
      <c r="H445" s="377"/>
      <c r="I445" s="140"/>
      <c r="J445" s="258"/>
      <c r="K445" s="140"/>
      <c r="L445" s="28"/>
      <c r="M445" s="320"/>
      <c r="N445"/>
      <c r="O445"/>
      <c r="P445"/>
      <c r="Q445"/>
      <c r="R445"/>
      <c r="S445"/>
      <c r="T445"/>
      <c r="U445"/>
      <c r="V445"/>
    </row>
    <row r="446" spans="2:22" s="56" customFormat="1" ht="13.5" hidden="1">
      <c r="B446" s="36"/>
      <c r="C446" s="36"/>
      <c r="D446" s="225"/>
      <c r="E446" s="111"/>
      <c r="F446" s="112"/>
      <c r="G446" s="112"/>
      <c r="H446" s="377"/>
      <c r="I446" s="140"/>
      <c r="J446" s="258"/>
      <c r="K446" s="140"/>
      <c r="L446" s="28"/>
      <c r="M446" s="320"/>
      <c r="N446"/>
      <c r="O446"/>
      <c r="P446"/>
      <c r="Q446"/>
      <c r="R446"/>
      <c r="S446"/>
      <c r="T446"/>
      <c r="U446"/>
      <c r="V446"/>
    </row>
    <row r="447" spans="2:22" s="56" customFormat="1" ht="13.5" hidden="1">
      <c r="B447" s="36"/>
      <c r="C447" s="36"/>
      <c r="D447" s="225"/>
      <c r="E447" s="111"/>
      <c r="F447" s="112"/>
      <c r="G447" s="112"/>
      <c r="H447" s="377"/>
      <c r="I447" s="140"/>
      <c r="J447" s="258"/>
      <c r="K447" s="140"/>
      <c r="L447" s="28"/>
      <c r="M447" s="320"/>
      <c r="N447"/>
      <c r="O447"/>
      <c r="P447"/>
      <c r="Q447"/>
      <c r="R447"/>
      <c r="S447"/>
      <c r="T447"/>
      <c r="U447"/>
      <c r="V447"/>
    </row>
    <row r="448" spans="2:22" s="56" customFormat="1" ht="13.5" hidden="1">
      <c r="B448" s="36"/>
      <c r="C448" s="36"/>
      <c r="D448" s="225"/>
      <c r="E448" s="111"/>
      <c r="F448" s="112"/>
      <c r="G448" s="112"/>
      <c r="H448" s="377"/>
      <c r="I448" s="140"/>
      <c r="J448" s="258"/>
      <c r="K448" s="140"/>
      <c r="L448" s="28"/>
      <c r="M448" s="320"/>
      <c r="N448"/>
      <c r="O448"/>
      <c r="P448"/>
      <c r="Q448"/>
      <c r="R448"/>
      <c r="S448"/>
      <c r="T448"/>
      <c r="U448"/>
      <c r="V448"/>
    </row>
    <row r="449" spans="2:22" s="56" customFormat="1" ht="13.5" hidden="1">
      <c r="B449" s="36"/>
      <c r="C449" s="36"/>
      <c r="D449" s="225"/>
      <c r="E449" s="111"/>
      <c r="F449" s="112"/>
      <c r="G449" s="112"/>
      <c r="H449" s="377"/>
      <c r="I449" s="140"/>
      <c r="J449" s="258"/>
      <c r="K449" s="140"/>
      <c r="L449" s="28"/>
      <c r="M449" s="320"/>
      <c r="N449"/>
      <c r="O449"/>
      <c r="P449"/>
      <c r="Q449"/>
      <c r="R449"/>
      <c r="S449"/>
      <c r="T449"/>
      <c r="U449"/>
      <c r="V449"/>
    </row>
    <row r="450" spans="2:22" s="56" customFormat="1" ht="13.5" hidden="1">
      <c r="B450" s="36"/>
      <c r="C450" s="36"/>
      <c r="D450" s="225"/>
      <c r="E450" s="111"/>
      <c r="F450" s="112"/>
      <c r="G450" s="112"/>
      <c r="H450" s="377"/>
      <c r="I450" s="140"/>
      <c r="J450" s="258"/>
      <c r="K450" s="140"/>
      <c r="L450" s="28"/>
      <c r="M450" s="320"/>
      <c r="N450"/>
      <c r="O450"/>
      <c r="P450"/>
      <c r="Q450"/>
      <c r="R450"/>
      <c r="S450"/>
      <c r="T450"/>
      <c r="U450"/>
      <c r="V450"/>
    </row>
    <row r="451" spans="2:22" s="56" customFormat="1" ht="13.5" hidden="1">
      <c r="B451" s="36"/>
      <c r="C451" s="36"/>
      <c r="D451" s="225"/>
      <c r="E451" s="111"/>
      <c r="F451" s="112"/>
      <c r="G451" s="112"/>
      <c r="H451" s="377"/>
      <c r="I451" s="140"/>
      <c r="J451" s="258"/>
      <c r="K451" s="140"/>
      <c r="L451" s="28"/>
      <c r="M451" s="320"/>
      <c r="N451"/>
      <c r="O451"/>
      <c r="P451"/>
      <c r="Q451"/>
      <c r="R451"/>
      <c r="S451"/>
      <c r="T451"/>
      <c r="U451"/>
      <c r="V451"/>
    </row>
    <row r="452" spans="2:22" s="56" customFormat="1" ht="13.5" hidden="1">
      <c r="B452" s="36"/>
      <c r="C452" s="36"/>
      <c r="D452" s="225"/>
      <c r="E452" s="111"/>
      <c r="F452" s="112"/>
      <c r="G452" s="112"/>
      <c r="H452" s="377"/>
      <c r="I452" s="140"/>
      <c r="J452" s="258"/>
      <c r="K452" s="140"/>
      <c r="L452" s="28"/>
      <c r="M452" s="320"/>
      <c r="N452"/>
      <c r="O452"/>
      <c r="P452"/>
      <c r="Q452"/>
      <c r="R452"/>
      <c r="S452"/>
      <c r="T452"/>
      <c r="U452"/>
      <c r="V452"/>
    </row>
    <row r="453" spans="2:22" s="56" customFormat="1" ht="13.5" hidden="1">
      <c r="B453" s="36"/>
      <c r="C453" s="36"/>
      <c r="D453" s="225" t="s">
        <v>65</v>
      </c>
      <c r="E453" s="111"/>
      <c r="F453" s="112"/>
      <c r="G453" s="112"/>
      <c r="H453" s="377"/>
      <c r="I453" s="140"/>
      <c r="J453" s="258"/>
      <c r="K453" s="140"/>
      <c r="L453" s="28"/>
      <c r="M453" s="320"/>
      <c r="N453"/>
      <c r="O453"/>
      <c r="P453"/>
      <c r="Q453"/>
      <c r="R453"/>
      <c r="S453"/>
      <c r="T453"/>
      <c r="U453"/>
      <c r="V453"/>
    </row>
    <row r="454" spans="2:22" s="56" customFormat="1" ht="13.5" hidden="1">
      <c r="B454" s="36"/>
      <c r="C454" s="36" t="s">
        <v>142</v>
      </c>
      <c r="D454" s="225" t="s">
        <v>66</v>
      </c>
      <c r="E454" s="111"/>
      <c r="F454" s="112"/>
      <c r="G454" s="112"/>
      <c r="H454" s="377"/>
      <c r="I454" s="140" t="s">
        <v>108</v>
      </c>
      <c r="J454" s="258"/>
      <c r="K454" s="141" t="s">
        <v>84</v>
      </c>
      <c r="L454" s="28"/>
      <c r="M454" s="320">
        <v>200000</v>
      </c>
      <c r="N454"/>
      <c r="O454"/>
      <c r="P454"/>
      <c r="Q454"/>
      <c r="R454"/>
      <c r="S454"/>
      <c r="T454"/>
      <c r="U454"/>
      <c r="V454"/>
    </row>
    <row r="455" spans="2:22" s="56" customFormat="1" ht="19.5" customHeight="1" hidden="1">
      <c r="B455" s="36"/>
      <c r="C455" s="36"/>
      <c r="D455" s="225"/>
      <c r="E455" s="111"/>
      <c r="F455" s="112"/>
      <c r="G455" s="112"/>
      <c r="H455" s="278"/>
      <c r="I455" s="153" t="s">
        <v>109</v>
      </c>
      <c r="J455" s="264"/>
      <c r="K455" s="142" t="s">
        <v>105</v>
      </c>
      <c r="L455" s="30"/>
      <c r="M455" s="320">
        <v>100000</v>
      </c>
      <c r="N455"/>
      <c r="O455"/>
      <c r="P455"/>
      <c r="Q455"/>
      <c r="R455"/>
      <c r="S455"/>
      <c r="T455"/>
      <c r="U455"/>
      <c r="V455"/>
    </row>
    <row r="456" spans="2:22" s="56" customFormat="1" ht="19.5" customHeight="1" hidden="1">
      <c r="B456" s="36"/>
      <c r="C456" s="36"/>
      <c r="D456" s="225"/>
      <c r="E456" s="111"/>
      <c r="F456" s="112"/>
      <c r="G456" s="112"/>
      <c r="H456" s="278"/>
      <c r="I456" s="153" t="s">
        <v>274</v>
      </c>
      <c r="J456" s="264"/>
      <c r="K456" s="142" t="s">
        <v>105</v>
      </c>
      <c r="L456" s="30"/>
      <c r="M456" s="320">
        <v>100000</v>
      </c>
      <c r="N456"/>
      <c r="O456"/>
      <c r="P456"/>
      <c r="Q456"/>
      <c r="R456"/>
      <c r="S456"/>
      <c r="T456"/>
      <c r="U456"/>
      <c r="V456"/>
    </row>
    <row r="457" spans="2:22" s="56" customFormat="1" ht="19.5" customHeight="1" hidden="1">
      <c r="B457" s="36"/>
      <c r="C457" s="36"/>
      <c r="D457" s="225"/>
      <c r="E457" s="111"/>
      <c r="F457" s="112"/>
      <c r="G457" s="112"/>
      <c r="H457" s="278"/>
      <c r="I457" s="140" t="s">
        <v>275</v>
      </c>
      <c r="J457" s="258"/>
      <c r="K457" s="141" t="s">
        <v>380</v>
      </c>
      <c r="L457" s="28"/>
      <c r="M457" s="320">
        <v>100000</v>
      </c>
      <c r="N457"/>
      <c r="O457"/>
      <c r="P457"/>
      <c r="Q457"/>
      <c r="R457"/>
      <c r="S457"/>
      <c r="T457"/>
      <c r="U457"/>
      <c r="V457"/>
    </row>
    <row r="458" spans="2:13" ht="19.5" customHeight="1" hidden="1">
      <c r="B458" s="34"/>
      <c r="C458" s="34"/>
      <c r="D458" s="226"/>
      <c r="E458" s="113"/>
      <c r="F458" s="114"/>
      <c r="G458" s="114"/>
      <c r="H458" s="124"/>
      <c r="I458" s="194" t="s">
        <v>276</v>
      </c>
      <c r="J458" s="264"/>
      <c r="K458" s="142" t="s">
        <v>381</v>
      </c>
      <c r="L458" s="30"/>
      <c r="M458" s="321">
        <v>200000</v>
      </c>
    </row>
    <row r="459" spans="2:13" ht="19.5" customHeight="1" hidden="1">
      <c r="B459" s="34"/>
      <c r="C459" s="34"/>
      <c r="D459" s="226"/>
      <c r="E459" s="113"/>
      <c r="F459" s="114"/>
      <c r="G459" s="114"/>
      <c r="H459" s="378"/>
      <c r="I459" s="195" t="s">
        <v>277</v>
      </c>
      <c r="J459" s="258"/>
      <c r="K459" s="141" t="s">
        <v>0</v>
      </c>
      <c r="L459" s="28"/>
      <c r="M459" s="321">
        <v>300000</v>
      </c>
    </row>
    <row r="460" spans="2:13" ht="19.5" customHeight="1" hidden="1">
      <c r="B460" s="34"/>
      <c r="C460" s="34"/>
      <c r="D460" s="226"/>
      <c r="E460" s="113"/>
      <c r="F460" s="114"/>
      <c r="G460" s="114"/>
      <c r="H460" s="124"/>
      <c r="I460" s="195" t="s">
        <v>278</v>
      </c>
      <c r="J460" s="258"/>
      <c r="K460" s="141" t="s">
        <v>105</v>
      </c>
      <c r="L460" s="28"/>
      <c r="M460" s="321">
        <v>100000</v>
      </c>
    </row>
    <row r="461" spans="2:13" ht="19.5" customHeight="1" hidden="1">
      <c r="B461" s="34"/>
      <c r="C461" s="34"/>
      <c r="D461" s="226"/>
      <c r="E461" s="113"/>
      <c r="F461" s="114"/>
      <c r="G461" s="114"/>
      <c r="H461" s="124"/>
      <c r="I461" s="194" t="s">
        <v>279</v>
      </c>
      <c r="J461" s="264"/>
      <c r="K461" s="142" t="s">
        <v>1</v>
      </c>
      <c r="L461" s="30"/>
      <c r="M461" s="321">
        <v>60000</v>
      </c>
    </row>
    <row r="462" spans="2:13" ht="19.5" customHeight="1" hidden="1">
      <c r="B462" s="34"/>
      <c r="C462" s="34"/>
      <c r="D462" s="226"/>
      <c r="E462" s="113"/>
      <c r="F462" s="114"/>
      <c r="G462" s="114"/>
      <c r="H462" s="124"/>
      <c r="I462" s="194" t="s">
        <v>280</v>
      </c>
      <c r="J462" s="264"/>
      <c r="K462" s="142" t="s">
        <v>2</v>
      </c>
      <c r="L462" s="30"/>
      <c r="M462" s="321">
        <v>200000</v>
      </c>
    </row>
    <row r="463" spans="2:13" ht="19.5" customHeight="1" hidden="1">
      <c r="B463" s="34"/>
      <c r="C463" s="34"/>
      <c r="D463" s="226"/>
      <c r="E463" s="113"/>
      <c r="F463" s="114"/>
      <c r="G463" s="114"/>
      <c r="H463" s="124"/>
      <c r="I463" s="194" t="s">
        <v>281</v>
      </c>
      <c r="J463" s="264"/>
      <c r="K463" s="142" t="s">
        <v>3</v>
      </c>
      <c r="L463" s="30"/>
      <c r="M463" s="321">
        <v>250000</v>
      </c>
    </row>
    <row r="464" spans="2:13" ht="19.5" customHeight="1" hidden="1">
      <c r="B464" s="34"/>
      <c r="C464" s="34"/>
      <c r="D464" s="226"/>
      <c r="E464" s="113"/>
      <c r="F464" s="114"/>
      <c r="G464" s="114"/>
      <c r="H464" s="124"/>
      <c r="I464" s="194" t="s">
        <v>282</v>
      </c>
      <c r="J464" s="264"/>
      <c r="K464" s="142"/>
      <c r="L464" s="30"/>
      <c r="M464" s="321">
        <v>200000</v>
      </c>
    </row>
    <row r="465" spans="2:13" ht="19.5" customHeight="1" hidden="1">
      <c r="B465" s="34"/>
      <c r="C465" s="34"/>
      <c r="D465" s="226"/>
      <c r="E465" s="113"/>
      <c r="F465" s="114"/>
      <c r="G465" s="114"/>
      <c r="H465" s="378"/>
      <c r="I465" s="195" t="s">
        <v>283</v>
      </c>
      <c r="J465" s="258"/>
      <c r="K465" s="141"/>
      <c r="L465" s="28"/>
      <c r="M465" s="322">
        <v>300000</v>
      </c>
    </row>
    <row r="466" spans="2:13" ht="19.5" customHeight="1" hidden="1">
      <c r="B466" s="34"/>
      <c r="C466" s="34"/>
      <c r="D466" s="226"/>
      <c r="E466" s="113"/>
      <c r="F466" s="114"/>
      <c r="G466" s="114"/>
      <c r="H466" s="378"/>
      <c r="I466" s="195" t="s">
        <v>86</v>
      </c>
      <c r="J466" s="258"/>
      <c r="K466" s="141" t="s">
        <v>4</v>
      </c>
      <c r="L466" s="28"/>
      <c r="M466" s="322">
        <v>240000</v>
      </c>
    </row>
    <row r="467" spans="2:13" ht="19.5" customHeight="1" hidden="1">
      <c r="B467" s="34"/>
      <c r="C467" s="34"/>
      <c r="D467" s="226"/>
      <c r="E467" s="113"/>
      <c r="F467" s="114"/>
      <c r="G467" s="114"/>
      <c r="H467" s="378"/>
      <c r="I467" s="196" t="s">
        <v>284</v>
      </c>
      <c r="J467" s="265"/>
      <c r="K467" s="141"/>
      <c r="L467" s="28"/>
      <c r="M467" s="322"/>
    </row>
    <row r="468" spans="2:13" ht="19.5" customHeight="1" hidden="1">
      <c r="B468" s="34"/>
      <c r="C468" s="34"/>
      <c r="D468" s="226"/>
      <c r="E468" s="113"/>
      <c r="F468" s="114"/>
      <c r="G468" s="114"/>
      <c r="H468" s="378"/>
      <c r="I468" s="197" t="s">
        <v>274</v>
      </c>
      <c r="J468" s="264"/>
      <c r="K468" s="143" t="s">
        <v>5</v>
      </c>
      <c r="L468" s="20"/>
      <c r="M468" s="322">
        <v>50000</v>
      </c>
    </row>
    <row r="469" spans="2:13" ht="19.5" customHeight="1" hidden="1">
      <c r="B469" s="34"/>
      <c r="C469" s="34"/>
      <c r="D469" s="226"/>
      <c r="E469" s="113"/>
      <c r="F469" s="114"/>
      <c r="G469" s="114"/>
      <c r="H469" s="378"/>
      <c r="I469" s="197" t="s">
        <v>86</v>
      </c>
      <c r="J469" s="264"/>
      <c r="K469" s="143" t="s">
        <v>80</v>
      </c>
      <c r="L469" s="20"/>
      <c r="M469" s="322">
        <v>61000</v>
      </c>
    </row>
    <row r="470" spans="2:13" ht="19.5" customHeight="1" hidden="1">
      <c r="B470" s="34"/>
      <c r="C470" s="34"/>
      <c r="D470" s="226"/>
      <c r="E470" s="113"/>
      <c r="F470" s="114"/>
      <c r="G470" s="114"/>
      <c r="H470" s="378"/>
      <c r="I470" s="198" t="s">
        <v>285</v>
      </c>
      <c r="J470" s="266"/>
      <c r="K470" s="143"/>
      <c r="L470" s="20"/>
      <c r="M470" s="322"/>
    </row>
    <row r="471" spans="2:13" ht="19.5" customHeight="1" hidden="1">
      <c r="B471" s="34"/>
      <c r="C471" s="34"/>
      <c r="D471" s="226"/>
      <c r="E471" s="113"/>
      <c r="F471" s="114"/>
      <c r="G471" s="114"/>
      <c r="H471" s="378"/>
      <c r="I471" s="197" t="s">
        <v>286</v>
      </c>
      <c r="J471" s="264"/>
      <c r="K471" s="143" t="s">
        <v>85</v>
      </c>
      <c r="L471" s="20"/>
      <c r="M471" s="322">
        <v>120000</v>
      </c>
    </row>
    <row r="472" spans="2:13" ht="19.5" customHeight="1" hidden="1">
      <c r="B472" s="34"/>
      <c r="C472" s="34"/>
      <c r="D472" s="226"/>
      <c r="E472" s="113"/>
      <c r="F472" s="114"/>
      <c r="G472" s="114"/>
      <c r="H472" s="378"/>
      <c r="I472" s="197" t="s">
        <v>287</v>
      </c>
      <c r="J472" s="264"/>
      <c r="K472" s="143" t="s">
        <v>85</v>
      </c>
      <c r="L472" s="20"/>
      <c r="M472" s="322">
        <v>120000</v>
      </c>
    </row>
    <row r="473" spans="2:13" ht="19.5" customHeight="1" hidden="1">
      <c r="B473" s="34"/>
      <c r="C473" s="34"/>
      <c r="D473" s="226"/>
      <c r="E473" s="113"/>
      <c r="F473" s="114"/>
      <c r="G473" s="114"/>
      <c r="H473" s="378"/>
      <c r="I473" s="197" t="s">
        <v>288</v>
      </c>
      <c r="J473" s="264"/>
      <c r="K473" s="143"/>
      <c r="L473" s="20"/>
      <c r="M473" s="322">
        <v>40000</v>
      </c>
    </row>
    <row r="474" spans="2:13" ht="19.5" customHeight="1" hidden="1">
      <c r="B474" s="35"/>
      <c r="C474" s="35"/>
      <c r="D474" s="227"/>
      <c r="E474" s="115"/>
      <c r="F474" s="116"/>
      <c r="G474" s="116"/>
      <c r="H474" s="379"/>
      <c r="I474" s="199" t="s">
        <v>289</v>
      </c>
      <c r="J474" s="267"/>
      <c r="K474" s="144"/>
      <c r="L474" s="25"/>
      <c r="M474" s="323">
        <v>100000</v>
      </c>
    </row>
    <row r="475" spans="2:13" ht="19.5" customHeight="1" hidden="1">
      <c r="B475" s="36"/>
      <c r="C475" s="36"/>
      <c r="D475" s="225"/>
      <c r="E475" s="111"/>
      <c r="F475" s="112"/>
      <c r="G475" s="112"/>
      <c r="H475" s="377"/>
      <c r="I475" s="143"/>
      <c r="J475" s="264"/>
      <c r="K475" s="143"/>
      <c r="L475" s="20"/>
      <c r="M475" s="324"/>
    </row>
    <row r="476" spans="2:13" ht="19.5" customHeight="1" hidden="1">
      <c r="B476" s="40" t="s">
        <v>81</v>
      </c>
      <c r="C476" s="40"/>
      <c r="E476" s="94"/>
      <c r="H476" s="3"/>
      <c r="K476" s="143"/>
      <c r="L476" s="20"/>
      <c r="M476" s="325" t="s">
        <v>77</v>
      </c>
    </row>
    <row r="477" spans="2:13" ht="19.5" customHeight="1" hidden="1">
      <c r="B477" s="41" t="s">
        <v>74</v>
      </c>
      <c r="C477" s="41" t="s">
        <v>75</v>
      </c>
      <c r="D477" s="228" t="s">
        <v>76</v>
      </c>
      <c r="E477" s="680" t="s">
        <v>376</v>
      </c>
      <c r="F477" s="681"/>
      <c r="G477" s="678" t="s">
        <v>78</v>
      </c>
      <c r="H477" s="679"/>
      <c r="I477" s="200" t="s">
        <v>123</v>
      </c>
      <c r="J477" s="268"/>
      <c r="K477" s="145"/>
      <c r="L477" s="7"/>
      <c r="M477" s="326"/>
    </row>
    <row r="478" spans="2:13" ht="19.5" customHeight="1" hidden="1">
      <c r="B478" s="42"/>
      <c r="C478" s="42"/>
      <c r="D478" s="229"/>
      <c r="E478" s="117" t="s">
        <v>377</v>
      </c>
      <c r="F478" s="118" t="s">
        <v>378</v>
      </c>
      <c r="G478" s="118" t="s">
        <v>379</v>
      </c>
      <c r="H478" s="118" t="s">
        <v>73</v>
      </c>
      <c r="I478" s="201"/>
      <c r="J478" s="269"/>
      <c r="K478" s="146"/>
      <c r="L478" s="25"/>
      <c r="M478" s="327"/>
    </row>
    <row r="479" spans="2:13" ht="19.5" customHeight="1" hidden="1">
      <c r="B479" s="37"/>
      <c r="C479" s="37"/>
      <c r="D479" s="230"/>
      <c r="E479" s="119"/>
      <c r="F479" s="120"/>
      <c r="G479" s="120"/>
      <c r="H479" s="380"/>
      <c r="I479" s="202" t="s">
        <v>290</v>
      </c>
      <c r="J479" s="270"/>
      <c r="K479" s="147"/>
      <c r="L479" s="7"/>
      <c r="M479" s="328"/>
    </row>
    <row r="480" spans="2:13" ht="19.5" customHeight="1" hidden="1">
      <c r="B480" s="34"/>
      <c r="C480" s="34"/>
      <c r="D480" s="226"/>
      <c r="E480" s="113"/>
      <c r="F480" s="114"/>
      <c r="G480" s="114"/>
      <c r="H480" s="378"/>
      <c r="I480" s="198" t="s">
        <v>51</v>
      </c>
      <c r="J480" s="266"/>
      <c r="K480" s="143"/>
      <c r="L480" s="20"/>
      <c r="M480" s="322">
        <v>50000</v>
      </c>
    </row>
    <row r="481" spans="2:13" ht="19.5" customHeight="1" hidden="1">
      <c r="B481" s="34"/>
      <c r="C481" s="34"/>
      <c r="D481" s="226"/>
      <c r="E481" s="113"/>
      <c r="F481" s="114"/>
      <c r="G481" s="114"/>
      <c r="H481" s="378"/>
      <c r="I481" s="197" t="s">
        <v>111</v>
      </c>
      <c r="J481" s="264"/>
      <c r="K481" s="143" t="s">
        <v>6</v>
      </c>
      <c r="L481" s="20"/>
      <c r="M481" s="322">
        <v>160000</v>
      </c>
    </row>
    <row r="482" spans="2:13" ht="19.5" customHeight="1" hidden="1">
      <c r="B482" s="34"/>
      <c r="C482" s="34"/>
      <c r="D482" s="226"/>
      <c r="E482" s="113"/>
      <c r="F482" s="114"/>
      <c r="G482" s="114"/>
      <c r="H482" s="378"/>
      <c r="I482" s="197" t="s">
        <v>112</v>
      </c>
      <c r="J482" s="264"/>
      <c r="K482" s="143" t="s">
        <v>6</v>
      </c>
      <c r="L482" s="20"/>
      <c r="M482" s="322">
        <v>160000</v>
      </c>
    </row>
    <row r="483" spans="2:13" ht="19.5" customHeight="1" hidden="1">
      <c r="B483" s="34"/>
      <c r="C483" s="34"/>
      <c r="D483" s="226"/>
      <c r="E483" s="113"/>
      <c r="F483" s="114"/>
      <c r="G483" s="114"/>
      <c r="H483" s="378"/>
      <c r="I483" s="197" t="s">
        <v>113</v>
      </c>
      <c r="J483" s="264"/>
      <c r="K483" s="143" t="s">
        <v>1</v>
      </c>
      <c r="L483" s="20"/>
      <c r="M483" s="322">
        <v>60000</v>
      </c>
    </row>
    <row r="484" spans="2:13" ht="19.5" customHeight="1" hidden="1">
      <c r="B484" s="34"/>
      <c r="C484" s="34"/>
      <c r="D484" s="226"/>
      <c r="E484" s="113"/>
      <c r="F484" s="114"/>
      <c r="G484" s="114"/>
      <c r="H484" s="378"/>
      <c r="I484" s="197" t="s">
        <v>114</v>
      </c>
      <c r="J484" s="264"/>
      <c r="K484" s="143" t="s">
        <v>105</v>
      </c>
      <c r="L484" s="20"/>
      <c r="M484" s="322">
        <v>100000</v>
      </c>
    </row>
    <row r="485" spans="2:13" ht="19.5" customHeight="1" hidden="1">
      <c r="B485" s="34"/>
      <c r="C485" s="34"/>
      <c r="D485" s="226"/>
      <c r="E485" s="113"/>
      <c r="F485" s="114"/>
      <c r="G485" s="114"/>
      <c r="H485" s="378"/>
      <c r="I485" s="197" t="s">
        <v>115</v>
      </c>
      <c r="J485" s="264"/>
      <c r="K485" s="143" t="s">
        <v>105</v>
      </c>
      <c r="L485" s="20"/>
      <c r="M485" s="322">
        <v>100000</v>
      </c>
    </row>
    <row r="486" spans="2:13" ht="19.5" customHeight="1" hidden="1">
      <c r="B486" s="34"/>
      <c r="C486" s="34"/>
      <c r="D486" s="226"/>
      <c r="E486" s="113"/>
      <c r="F486" s="114"/>
      <c r="G486" s="114"/>
      <c r="H486" s="378"/>
      <c r="I486" s="197" t="s">
        <v>116</v>
      </c>
      <c r="J486" s="264"/>
      <c r="K486" s="143" t="s">
        <v>1</v>
      </c>
      <c r="L486" s="20"/>
      <c r="M486" s="322">
        <v>60000</v>
      </c>
    </row>
    <row r="487" spans="2:13" ht="19.5" customHeight="1" hidden="1">
      <c r="B487" s="34"/>
      <c r="C487" s="34"/>
      <c r="D487" s="226"/>
      <c r="E487" s="113"/>
      <c r="F487" s="114"/>
      <c r="G487" s="114"/>
      <c r="H487" s="378"/>
      <c r="I487" s="197" t="s">
        <v>117</v>
      </c>
      <c r="J487" s="264"/>
      <c r="K487" s="143" t="s">
        <v>105</v>
      </c>
      <c r="L487" s="20"/>
      <c r="M487" s="322">
        <v>100000</v>
      </c>
    </row>
    <row r="488" spans="2:13" ht="19.5" customHeight="1" hidden="1">
      <c r="B488" s="34"/>
      <c r="C488" s="34"/>
      <c r="D488" s="226"/>
      <c r="E488" s="113"/>
      <c r="F488" s="114"/>
      <c r="G488" s="114"/>
      <c r="H488" s="378"/>
      <c r="I488" s="197" t="s">
        <v>118</v>
      </c>
      <c r="J488" s="264"/>
      <c r="K488" s="143" t="s">
        <v>1</v>
      </c>
      <c r="L488" s="20"/>
      <c r="M488" s="322">
        <v>60000</v>
      </c>
    </row>
    <row r="489" spans="2:13" ht="19.5" customHeight="1" hidden="1">
      <c r="B489" s="34"/>
      <c r="C489" s="34"/>
      <c r="D489" s="226"/>
      <c r="E489" s="113"/>
      <c r="F489" s="114"/>
      <c r="G489" s="114"/>
      <c r="H489" s="378"/>
      <c r="I489" s="197" t="s">
        <v>119</v>
      </c>
      <c r="J489" s="264"/>
      <c r="K489" s="143" t="s">
        <v>105</v>
      </c>
      <c r="L489" s="20"/>
      <c r="M489" s="322">
        <v>100000</v>
      </c>
    </row>
    <row r="490" spans="2:13" ht="19.5" customHeight="1" hidden="1">
      <c r="B490" s="34"/>
      <c r="C490" s="34"/>
      <c r="D490" s="226"/>
      <c r="E490" s="113"/>
      <c r="F490" s="114"/>
      <c r="G490" s="114"/>
      <c r="H490" s="378"/>
      <c r="I490" s="197" t="s">
        <v>120</v>
      </c>
      <c r="J490" s="264"/>
      <c r="K490" s="143"/>
      <c r="L490" s="20"/>
      <c r="M490" s="322">
        <v>50000</v>
      </c>
    </row>
    <row r="491" spans="2:13" ht="19.5" customHeight="1" hidden="1">
      <c r="B491" s="34"/>
      <c r="C491" s="34"/>
      <c r="D491" s="226"/>
      <c r="E491" s="113"/>
      <c r="F491" s="114"/>
      <c r="G491" s="114"/>
      <c r="H491" s="378"/>
      <c r="I491" s="197" t="s">
        <v>110</v>
      </c>
      <c r="J491" s="264"/>
      <c r="K491" s="143"/>
      <c r="L491" s="20"/>
      <c r="M491" s="322">
        <v>100000</v>
      </c>
    </row>
    <row r="492" spans="2:13" ht="19.5" customHeight="1" hidden="1">
      <c r="B492" s="34"/>
      <c r="C492" s="34"/>
      <c r="D492" s="226"/>
      <c r="E492" s="113"/>
      <c r="F492" s="114"/>
      <c r="G492" s="114"/>
      <c r="H492" s="378"/>
      <c r="I492" s="197" t="s">
        <v>121</v>
      </c>
      <c r="J492" s="264"/>
      <c r="K492" s="143" t="s">
        <v>7</v>
      </c>
      <c r="L492" s="20"/>
      <c r="M492" s="322">
        <v>90000</v>
      </c>
    </row>
    <row r="493" spans="2:13" ht="19.5" customHeight="1" hidden="1">
      <c r="B493" s="34"/>
      <c r="C493" s="34"/>
      <c r="D493" s="226"/>
      <c r="E493" s="113"/>
      <c r="F493" s="114"/>
      <c r="G493" s="114"/>
      <c r="H493" s="378"/>
      <c r="I493" s="197" t="s">
        <v>122</v>
      </c>
      <c r="J493" s="264"/>
      <c r="K493" s="143" t="s">
        <v>8</v>
      </c>
      <c r="L493" s="20"/>
      <c r="M493" s="321">
        <v>100000</v>
      </c>
    </row>
    <row r="494" spans="2:13" ht="19.5" customHeight="1" hidden="1">
      <c r="B494" s="34"/>
      <c r="C494" s="34"/>
      <c r="D494" s="226"/>
      <c r="E494" s="113"/>
      <c r="F494" s="114"/>
      <c r="G494" s="114"/>
      <c r="H494" s="378"/>
      <c r="I494" s="198" t="s">
        <v>291</v>
      </c>
      <c r="J494" s="266"/>
      <c r="K494" s="143"/>
      <c r="L494" s="20"/>
      <c r="M494" s="322"/>
    </row>
    <row r="495" spans="2:13" ht="19.5" customHeight="1" hidden="1">
      <c r="B495" s="34"/>
      <c r="C495" s="34"/>
      <c r="D495" s="226"/>
      <c r="E495" s="113"/>
      <c r="F495" s="114"/>
      <c r="G495" s="114"/>
      <c r="H495" s="378"/>
      <c r="I495" s="197" t="s">
        <v>292</v>
      </c>
      <c r="J495" s="264"/>
      <c r="K495" s="143" t="s">
        <v>9</v>
      </c>
      <c r="L495" s="20"/>
      <c r="M495" s="322">
        <v>800000</v>
      </c>
    </row>
    <row r="496" spans="2:13" ht="19.5" customHeight="1" hidden="1">
      <c r="B496" s="34"/>
      <c r="C496" s="34"/>
      <c r="D496" s="226"/>
      <c r="E496" s="113"/>
      <c r="F496" s="114"/>
      <c r="G496" s="114"/>
      <c r="H496" s="378"/>
      <c r="I496" s="197" t="s">
        <v>110</v>
      </c>
      <c r="J496" s="264"/>
      <c r="K496" s="143" t="s">
        <v>10</v>
      </c>
      <c r="L496" s="20"/>
      <c r="M496" s="322">
        <v>800000</v>
      </c>
    </row>
    <row r="497" spans="2:13" ht="19.5" customHeight="1" hidden="1">
      <c r="B497" s="34"/>
      <c r="C497" s="34"/>
      <c r="D497" s="226"/>
      <c r="E497" s="113"/>
      <c r="F497" s="114"/>
      <c r="G497" s="114"/>
      <c r="H497" s="378"/>
      <c r="I497" s="197" t="s">
        <v>86</v>
      </c>
      <c r="J497" s="264"/>
      <c r="K497" s="143" t="s">
        <v>11</v>
      </c>
      <c r="L497" s="20"/>
      <c r="M497" s="322">
        <v>120000</v>
      </c>
    </row>
    <row r="498" spans="2:13" ht="19.5" customHeight="1" hidden="1">
      <c r="B498" s="38"/>
      <c r="C498" s="38"/>
      <c r="D498" s="231"/>
      <c r="E498" s="121"/>
      <c r="F498" s="122"/>
      <c r="G498" s="122"/>
      <c r="H498" s="381"/>
      <c r="I498" s="147"/>
      <c r="J498" s="271"/>
      <c r="K498" s="147"/>
      <c r="L498" s="7"/>
      <c r="M498" s="329"/>
    </row>
    <row r="499" spans="2:13" ht="19.5" customHeight="1" hidden="1">
      <c r="B499" s="36"/>
      <c r="C499" s="36"/>
      <c r="D499" s="225"/>
      <c r="E499" s="111"/>
      <c r="F499" s="112"/>
      <c r="G499" s="112"/>
      <c r="H499" s="377"/>
      <c r="I499" s="143"/>
      <c r="J499" s="264"/>
      <c r="K499" s="143"/>
      <c r="L499" s="20"/>
      <c r="M499" s="324"/>
    </row>
    <row r="500" spans="2:13" ht="19.5" customHeight="1" hidden="1">
      <c r="B500" s="36"/>
      <c r="C500" s="36"/>
      <c r="D500" s="225"/>
      <c r="E500" s="111"/>
      <c r="F500" s="112"/>
      <c r="G500" s="112"/>
      <c r="H500" s="377"/>
      <c r="I500" s="143"/>
      <c r="J500" s="264"/>
      <c r="K500" s="143"/>
      <c r="L500" s="20"/>
      <c r="M500" s="324"/>
    </row>
    <row r="501" spans="2:13" ht="19.5" customHeight="1" hidden="1">
      <c r="B501" s="36"/>
      <c r="C501" s="36"/>
      <c r="D501" s="225"/>
      <c r="E501" s="111"/>
      <c r="F501" s="112"/>
      <c r="G501" s="112"/>
      <c r="H501" s="377"/>
      <c r="I501" s="143"/>
      <c r="J501" s="264"/>
      <c r="K501" s="143"/>
      <c r="L501" s="20"/>
      <c r="M501" s="324"/>
    </row>
    <row r="502" spans="2:13" ht="19.5" customHeight="1" hidden="1">
      <c r="B502" s="36"/>
      <c r="C502" s="36"/>
      <c r="D502" s="225"/>
      <c r="E502" s="111"/>
      <c r="F502" s="112"/>
      <c r="G502" s="112"/>
      <c r="H502" s="377"/>
      <c r="I502" s="143"/>
      <c r="J502" s="264"/>
      <c r="K502" s="143"/>
      <c r="L502" s="20"/>
      <c r="M502" s="324"/>
    </row>
    <row r="503" spans="2:13" ht="19.5" customHeight="1" hidden="1">
      <c r="B503" s="40" t="s">
        <v>81</v>
      </c>
      <c r="C503" s="40"/>
      <c r="E503" s="94"/>
      <c r="H503" s="3"/>
      <c r="K503" s="143"/>
      <c r="L503" s="20"/>
      <c r="M503" s="325" t="s">
        <v>77</v>
      </c>
    </row>
    <row r="504" spans="2:13" ht="19.5" customHeight="1" hidden="1">
      <c r="B504" s="41" t="s">
        <v>74</v>
      </c>
      <c r="C504" s="41" t="s">
        <v>75</v>
      </c>
      <c r="D504" s="228" t="s">
        <v>76</v>
      </c>
      <c r="E504" s="680" t="s">
        <v>376</v>
      </c>
      <c r="F504" s="681"/>
      <c r="G504" s="678" t="s">
        <v>78</v>
      </c>
      <c r="H504" s="679"/>
      <c r="I504" s="200" t="s">
        <v>123</v>
      </c>
      <c r="J504" s="268"/>
      <c r="K504" s="145"/>
      <c r="L504" s="7"/>
      <c r="M504" s="326"/>
    </row>
    <row r="505" spans="2:13" ht="19.5" customHeight="1" hidden="1">
      <c r="B505" s="42"/>
      <c r="C505" s="42"/>
      <c r="D505" s="229"/>
      <c r="E505" s="117" t="s">
        <v>377</v>
      </c>
      <c r="F505" s="118" t="s">
        <v>378</v>
      </c>
      <c r="G505" s="118" t="s">
        <v>379</v>
      </c>
      <c r="H505" s="118" t="s">
        <v>73</v>
      </c>
      <c r="I505" s="201"/>
      <c r="J505" s="269"/>
      <c r="K505" s="146"/>
      <c r="L505" s="25"/>
      <c r="M505" s="327"/>
    </row>
    <row r="506" spans="2:13" ht="19.5" customHeight="1" hidden="1">
      <c r="B506" s="37"/>
      <c r="C506" s="37"/>
      <c r="D506" s="230" t="s">
        <v>87</v>
      </c>
      <c r="E506" s="119">
        <v>13990000</v>
      </c>
      <c r="F506" s="120">
        <f>SUM(M506:M571)</f>
        <v>10650000</v>
      </c>
      <c r="G506" s="120">
        <f>F506-E506</f>
        <v>-3340000</v>
      </c>
      <c r="H506" s="382">
        <f>G506/E506</f>
        <v>-0.23874195854181557</v>
      </c>
      <c r="I506" s="202" t="s">
        <v>124</v>
      </c>
      <c r="J506" s="270"/>
      <c r="K506" s="145"/>
      <c r="L506" s="7"/>
      <c r="M506" s="326"/>
    </row>
    <row r="507" spans="2:13" ht="19.5" customHeight="1" hidden="1">
      <c r="B507" s="34"/>
      <c r="C507" s="34"/>
      <c r="D507" s="226"/>
      <c r="E507" s="123"/>
      <c r="F507" s="124"/>
      <c r="G507" s="124"/>
      <c r="I507" s="198" t="s">
        <v>125</v>
      </c>
      <c r="J507" s="266"/>
      <c r="K507" s="148"/>
      <c r="L507" s="20"/>
      <c r="M507" s="321"/>
    </row>
    <row r="508" spans="2:13" ht="19.5" customHeight="1" hidden="1">
      <c r="B508" s="34"/>
      <c r="C508" s="34"/>
      <c r="D508" s="226"/>
      <c r="E508" s="113"/>
      <c r="F508" s="114"/>
      <c r="G508" s="114"/>
      <c r="H508" s="383"/>
      <c r="I508" s="197" t="s">
        <v>293</v>
      </c>
      <c r="J508" s="264"/>
      <c r="K508" s="148" t="s">
        <v>12</v>
      </c>
      <c r="L508" s="20"/>
      <c r="M508" s="321">
        <v>100000</v>
      </c>
    </row>
    <row r="509" spans="2:13" ht="19.5" customHeight="1" hidden="1">
      <c r="B509" s="34"/>
      <c r="C509" s="34" t="s">
        <v>80</v>
      </c>
      <c r="D509" s="226" t="s">
        <v>80</v>
      </c>
      <c r="E509" s="113"/>
      <c r="F509" s="114"/>
      <c r="G509" s="114"/>
      <c r="H509" s="383"/>
      <c r="I509" s="197" t="s">
        <v>294</v>
      </c>
      <c r="J509" s="264"/>
      <c r="K509" s="148" t="s">
        <v>13</v>
      </c>
      <c r="L509" s="20"/>
      <c r="M509" s="322">
        <v>50000</v>
      </c>
    </row>
    <row r="510" spans="2:13" ht="19.5" customHeight="1" hidden="1">
      <c r="B510" s="34"/>
      <c r="C510" s="34"/>
      <c r="D510" s="226"/>
      <c r="E510" s="113"/>
      <c r="F510" s="114"/>
      <c r="G510" s="114"/>
      <c r="H510" s="383"/>
      <c r="I510" s="197" t="s">
        <v>295</v>
      </c>
      <c r="J510" s="264"/>
      <c r="K510" s="148" t="s">
        <v>14</v>
      </c>
      <c r="L510" s="20"/>
      <c r="M510" s="322">
        <v>150000</v>
      </c>
    </row>
    <row r="511" spans="2:13" ht="19.5" customHeight="1" hidden="1">
      <c r="B511" s="34"/>
      <c r="C511" s="34"/>
      <c r="D511" s="226"/>
      <c r="E511" s="113"/>
      <c r="F511" s="114"/>
      <c r="G511" s="114"/>
      <c r="H511" s="243"/>
      <c r="I511" s="197" t="s">
        <v>296</v>
      </c>
      <c r="J511" s="264"/>
      <c r="K511" s="148" t="s">
        <v>15</v>
      </c>
      <c r="L511" s="20"/>
      <c r="M511" s="322">
        <v>180000</v>
      </c>
    </row>
    <row r="512" spans="2:13" ht="19.5" customHeight="1" hidden="1">
      <c r="B512" s="34"/>
      <c r="C512" s="34"/>
      <c r="D512" s="226"/>
      <c r="E512" s="113"/>
      <c r="F512" s="114"/>
      <c r="G512" s="114"/>
      <c r="H512" s="243"/>
      <c r="I512" s="198" t="s">
        <v>126</v>
      </c>
      <c r="J512" s="266"/>
      <c r="K512" s="148"/>
      <c r="L512" s="20"/>
      <c r="M512" s="322"/>
    </row>
    <row r="513" spans="2:13" ht="19.5" customHeight="1" hidden="1">
      <c r="B513" s="34"/>
      <c r="C513" s="34"/>
      <c r="D513" s="226"/>
      <c r="E513" s="113"/>
      <c r="F513" s="114"/>
      <c r="G513" s="114"/>
      <c r="H513" s="243"/>
      <c r="I513" s="197" t="s">
        <v>297</v>
      </c>
      <c r="J513" s="264"/>
      <c r="K513" s="148" t="s">
        <v>16</v>
      </c>
      <c r="L513" s="20"/>
      <c r="M513" s="322">
        <v>400000</v>
      </c>
    </row>
    <row r="514" spans="2:13" ht="19.5" customHeight="1" hidden="1">
      <c r="B514" s="34"/>
      <c r="C514" s="34"/>
      <c r="D514" s="226"/>
      <c r="E514" s="113"/>
      <c r="F514" s="114"/>
      <c r="G514" s="114"/>
      <c r="H514" s="243"/>
      <c r="I514" s="197" t="s">
        <v>298</v>
      </c>
      <c r="J514" s="264"/>
      <c r="K514" s="148" t="s">
        <v>16</v>
      </c>
      <c r="L514" s="20"/>
      <c r="M514" s="322">
        <v>400000</v>
      </c>
    </row>
    <row r="515" spans="2:13" ht="19.5" customHeight="1" hidden="1">
      <c r="B515" s="34"/>
      <c r="C515" s="34"/>
      <c r="D515" s="226"/>
      <c r="E515" s="113"/>
      <c r="F515" s="114"/>
      <c r="G515" s="114"/>
      <c r="H515" s="243"/>
      <c r="I515" s="197" t="s">
        <v>299</v>
      </c>
      <c r="J515" s="264"/>
      <c r="K515" s="148" t="s">
        <v>17</v>
      </c>
      <c r="L515" s="20"/>
      <c r="M515" s="322">
        <v>240000</v>
      </c>
    </row>
    <row r="516" spans="2:13" ht="19.5" customHeight="1" hidden="1">
      <c r="B516" s="34"/>
      <c r="C516" s="34"/>
      <c r="D516" s="226"/>
      <c r="E516" s="113"/>
      <c r="F516" s="114"/>
      <c r="G516" s="114"/>
      <c r="H516" s="243"/>
      <c r="I516" s="197" t="s">
        <v>300</v>
      </c>
      <c r="J516" s="264"/>
      <c r="K516" s="148" t="s">
        <v>17</v>
      </c>
      <c r="L516" s="20"/>
      <c r="M516" s="322">
        <v>240000</v>
      </c>
    </row>
    <row r="517" spans="2:13" ht="19.5" customHeight="1" hidden="1">
      <c r="B517" s="34"/>
      <c r="C517" s="34"/>
      <c r="D517" s="226"/>
      <c r="E517" s="113"/>
      <c r="F517" s="114"/>
      <c r="G517" s="114"/>
      <c r="H517" s="243"/>
      <c r="I517" s="198" t="s">
        <v>127</v>
      </c>
      <c r="J517" s="266"/>
      <c r="K517" s="148"/>
      <c r="L517" s="20"/>
      <c r="M517" s="322"/>
    </row>
    <row r="518" spans="2:13" ht="19.5" customHeight="1" hidden="1">
      <c r="B518" s="34"/>
      <c r="C518" s="34"/>
      <c r="D518" s="226"/>
      <c r="E518" s="113"/>
      <c r="F518" s="114"/>
      <c r="G518" s="114"/>
      <c r="H518" s="243"/>
      <c r="I518" s="197" t="s">
        <v>301</v>
      </c>
      <c r="J518" s="264"/>
      <c r="K518" s="148" t="s">
        <v>18</v>
      </c>
      <c r="L518" s="20"/>
      <c r="M518" s="322">
        <v>40000</v>
      </c>
    </row>
    <row r="519" spans="2:13" ht="19.5" customHeight="1" hidden="1">
      <c r="B519" s="34"/>
      <c r="C519" s="34"/>
      <c r="D519" s="226"/>
      <c r="E519" s="113"/>
      <c r="F519" s="114"/>
      <c r="G519" s="114"/>
      <c r="H519" s="243"/>
      <c r="I519" s="197" t="s">
        <v>302</v>
      </c>
      <c r="J519" s="264"/>
      <c r="K519" s="148" t="s">
        <v>19</v>
      </c>
      <c r="L519" s="20"/>
      <c r="M519" s="322">
        <v>200000</v>
      </c>
    </row>
    <row r="520" spans="2:13" ht="19.5" customHeight="1" hidden="1">
      <c r="B520" s="34"/>
      <c r="C520" s="34"/>
      <c r="D520" s="226"/>
      <c r="E520" s="113"/>
      <c r="F520" s="114"/>
      <c r="G520" s="114"/>
      <c r="H520" s="243"/>
      <c r="I520" s="197" t="s">
        <v>303</v>
      </c>
      <c r="J520" s="264"/>
      <c r="K520" s="148" t="s">
        <v>18</v>
      </c>
      <c r="L520" s="20"/>
      <c r="M520" s="322">
        <v>40000</v>
      </c>
    </row>
    <row r="521" spans="2:13" ht="19.5" customHeight="1" hidden="1">
      <c r="B521" s="43"/>
      <c r="C521" s="45"/>
      <c r="D521" s="232"/>
      <c r="E521" s="125"/>
      <c r="F521" s="126"/>
      <c r="G521" s="126"/>
      <c r="H521" s="384"/>
      <c r="I521" s="198" t="s">
        <v>132</v>
      </c>
      <c r="J521" s="266"/>
      <c r="K521" s="149" t="s">
        <v>80</v>
      </c>
      <c r="L521" s="31"/>
      <c r="M521" s="322"/>
    </row>
    <row r="522" spans="2:13" ht="19.5" customHeight="1" hidden="1">
      <c r="B522" s="43"/>
      <c r="C522" s="45"/>
      <c r="D522" s="232"/>
      <c r="E522" s="125"/>
      <c r="F522" s="126"/>
      <c r="G522" s="126"/>
      <c r="H522" s="126"/>
      <c r="I522" s="203" t="s">
        <v>304</v>
      </c>
      <c r="J522" s="258"/>
      <c r="K522" s="143" t="s">
        <v>20</v>
      </c>
      <c r="L522" s="20"/>
      <c r="M522" s="322">
        <v>30000</v>
      </c>
    </row>
    <row r="523" spans="2:13" ht="19.5" customHeight="1" hidden="1">
      <c r="B523" s="43"/>
      <c r="C523" s="45"/>
      <c r="D523" s="232"/>
      <c r="E523" s="125"/>
      <c r="F523" s="126"/>
      <c r="G523" s="126"/>
      <c r="H523" s="126"/>
      <c r="I523" s="203" t="s">
        <v>305</v>
      </c>
      <c r="J523" s="258"/>
      <c r="K523" s="143" t="s">
        <v>21</v>
      </c>
      <c r="L523" s="20"/>
      <c r="M523" s="322">
        <v>450000</v>
      </c>
    </row>
    <row r="524" spans="2:13" ht="19.5" customHeight="1" hidden="1">
      <c r="B524" s="43"/>
      <c r="C524" s="45"/>
      <c r="D524" s="232"/>
      <c r="E524" s="125"/>
      <c r="F524" s="126"/>
      <c r="G524" s="126"/>
      <c r="H524" s="126"/>
      <c r="I524" s="203" t="s">
        <v>306</v>
      </c>
      <c r="J524" s="258"/>
      <c r="K524" s="143" t="s">
        <v>84</v>
      </c>
      <c r="L524" s="20"/>
      <c r="M524" s="322">
        <v>200000</v>
      </c>
    </row>
    <row r="525" spans="2:13" ht="19.5" customHeight="1" hidden="1">
      <c r="B525" s="43"/>
      <c r="C525" s="45"/>
      <c r="D525" s="232"/>
      <c r="E525" s="125"/>
      <c r="F525" s="126"/>
      <c r="G525" s="126"/>
      <c r="H525" s="126"/>
      <c r="I525" s="203" t="s">
        <v>307</v>
      </c>
      <c r="J525" s="258"/>
      <c r="K525" s="143" t="s">
        <v>84</v>
      </c>
      <c r="L525" s="20"/>
      <c r="M525" s="322">
        <v>200000</v>
      </c>
    </row>
    <row r="526" spans="2:13" ht="19.5" customHeight="1" hidden="1">
      <c r="B526" s="43"/>
      <c r="C526" s="45"/>
      <c r="D526" s="232"/>
      <c r="E526" s="125"/>
      <c r="F526" s="126"/>
      <c r="G526" s="126"/>
      <c r="H526" s="126"/>
      <c r="I526" s="203" t="s">
        <v>308</v>
      </c>
      <c r="J526" s="258"/>
      <c r="K526" s="143" t="s">
        <v>22</v>
      </c>
      <c r="L526" s="20"/>
      <c r="M526" s="322">
        <v>150000</v>
      </c>
    </row>
    <row r="527" spans="2:13" ht="19.5" customHeight="1" hidden="1">
      <c r="B527" s="43"/>
      <c r="C527" s="45"/>
      <c r="D527" s="232"/>
      <c r="E527" s="125"/>
      <c r="F527" s="126"/>
      <c r="G527" s="126"/>
      <c r="H527" s="126"/>
      <c r="I527" s="203" t="s">
        <v>309</v>
      </c>
      <c r="J527" s="258"/>
      <c r="K527" s="143" t="s">
        <v>23</v>
      </c>
      <c r="L527" s="20"/>
      <c r="M527" s="322">
        <v>150000</v>
      </c>
    </row>
    <row r="528" spans="2:13" ht="19.5" customHeight="1" hidden="1">
      <c r="B528" s="43"/>
      <c r="C528" s="45"/>
      <c r="D528" s="232"/>
      <c r="E528" s="125"/>
      <c r="F528" s="126"/>
      <c r="G528" s="126"/>
      <c r="H528" s="126"/>
      <c r="I528" s="203" t="s">
        <v>310</v>
      </c>
      <c r="J528" s="258"/>
      <c r="K528" s="143" t="s">
        <v>24</v>
      </c>
      <c r="L528" s="20"/>
      <c r="M528" s="322">
        <v>200000</v>
      </c>
    </row>
    <row r="529" spans="2:13" ht="19.5" customHeight="1" hidden="1">
      <c r="B529" s="44"/>
      <c r="C529" s="46"/>
      <c r="D529" s="233"/>
      <c r="E529" s="127"/>
      <c r="F529" s="128"/>
      <c r="G529" s="128"/>
      <c r="H529" s="128"/>
      <c r="I529" s="204" t="s">
        <v>311</v>
      </c>
      <c r="J529" s="272"/>
      <c r="K529" s="144" t="s">
        <v>25</v>
      </c>
      <c r="L529" s="25"/>
      <c r="M529" s="323">
        <v>40000</v>
      </c>
    </row>
    <row r="530" spans="2:13" ht="19.5" customHeight="1" hidden="1">
      <c r="B530" s="40" t="s">
        <v>81</v>
      </c>
      <c r="C530" s="40"/>
      <c r="E530" s="94"/>
      <c r="H530" s="3"/>
      <c r="K530" s="143"/>
      <c r="L530" s="9"/>
      <c r="M530" s="325" t="s">
        <v>77</v>
      </c>
    </row>
    <row r="531" spans="2:13" ht="19.5" customHeight="1" hidden="1">
      <c r="B531" s="41" t="s">
        <v>74</v>
      </c>
      <c r="C531" s="41" t="s">
        <v>75</v>
      </c>
      <c r="D531" s="228" t="s">
        <v>76</v>
      </c>
      <c r="E531" s="680" t="s">
        <v>376</v>
      </c>
      <c r="F531" s="681"/>
      <c r="G531" s="678" t="s">
        <v>78</v>
      </c>
      <c r="H531" s="679"/>
      <c r="I531" s="200" t="s">
        <v>123</v>
      </c>
      <c r="J531" s="268"/>
      <c r="K531" s="145"/>
      <c r="L531" s="7"/>
      <c r="M531" s="326"/>
    </row>
    <row r="532" spans="2:13" ht="19.5" customHeight="1" hidden="1">
      <c r="B532" s="42"/>
      <c r="C532" s="42"/>
      <c r="D532" s="229"/>
      <c r="E532" s="117" t="s">
        <v>377</v>
      </c>
      <c r="F532" s="118" t="s">
        <v>378</v>
      </c>
      <c r="G532" s="118" t="s">
        <v>379</v>
      </c>
      <c r="H532" s="118" t="s">
        <v>73</v>
      </c>
      <c r="I532" s="201"/>
      <c r="J532" s="269"/>
      <c r="K532" s="146"/>
      <c r="L532" s="25"/>
      <c r="M532" s="327"/>
    </row>
    <row r="533" spans="2:13" ht="19.5" customHeight="1" hidden="1">
      <c r="B533" s="34"/>
      <c r="C533" s="47"/>
      <c r="D533" s="226"/>
      <c r="E533" s="113"/>
      <c r="F533" s="114"/>
      <c r="G533" s="114"/>
      <c r="H533" s="385"/>
      <c r="I533" s="202" t="s">
        <v>128</v>
      </c>
      <c r="J533" s="270"/>
      <c r="K533" s="150"/>
      <c r="L533" s="7"/>
      <c r="M533" s="328"/>
    </row>
    <row r="534" spans="2:13" ht="19.5" customHeight="1" hidden="1">
      <c r="B534" s="34"/>
      <c r="C534" s="47"/>
      <c r="D534" s="226"/>
      <c r="E534" s="113"/>
      <c r="F534" s="114"/>
      <c r="G534" s="114"/>
      <c r="H534" s="385"/>
      <c r="I534" s="197" t="s">
        <v>312</v>
      </c>
      <c r="J534" s="264"/>
      <c r="K534" s="148" t="s">
        <v>82</v>
      </c>
      <c r="L534" s="20"/>
      <c r="M534" s="322">
        <v>500000</v>
      </c>
    </row>
    <row r="535" spans="2:13" ht="19.5" customHeight="1" hidden="1">
      <c r="B535" s="34"/>
      <c r="C535" s="47"/>
      <c r="D535" s="226"/>
      <c r="E535" s="113"/>
      <c r="F535" s="114"/>
      <c r="G535" s="114"/>
      <c r="H535" s="385"/>
      <c r="I535" s="197" t="s">
        <v>313</v>
      </c>
      <c r="J535" s="264"/>
      <c r="K535" s="148" t="s">
        <v>26</v>
      </c>
      <c r="L535" s="20"/>
      <c r="M535" s="322">
        <v>800000</v>
      </c>
    </row>
    <row r="536" spans="2:13" ht="19.5" customHeight="1" hidden="1">
      <c r="B536" s="34"/>
      <c r="C536" s="47"/>
      <c r="D536" s="226"/>
      <c r="E536" s="113"/>
      <c r="F536" s="114"/>
      <c r="G536" s="114"/>
      <c r="H536" s="385"/>
      <c r="I536" s="197" t="s">
        <v>314</v>
      </c>
      <c r="J536" s="264"/>
      <c r="K536" s="148" t="s">
        <v>26</v>
      </c>
      <c r="L536" s="20"/>
      <c r="M536" s="322">
        <v>800000</v>
      </c>
    </row>
    <row r="537" spans="2:13" ht="19.5" customHeight="1" hidden="1">
      <c r="B537" s="34"/>
      <c r="C537" s="47"/>
      <c r="D537" s="226"/>
      <c r="E537" s="113"/>
      <c r="F537" s="114"/>
      <c r="G537" s="114"/>
      <c r="H537" s="385"/>
      <c r="I537" s="197" t="s">
        <v>315</v>
      </c>
      <c r="J537" s="264"/>
      <c r="K537" s="148" t="s">
        <v>14</v>
      </c>
      <c r="L537" s="20"/>
      <c r="M537" s="322">
        <v>150000</v>
      </c>
    </row>
    <row r="538" spans="2:13" ht="19.5" customHeight="1" hidden="1">
      <c r="B538" s="48"/>
      <c r="C538" s="47"/>
      <c r="D538" s="226"/>
      <c r="E538" s="113"/>
      <c r="F538" s="114"/>
      <c r="G538" s="114"/>
      <c r="H538" s="385"/>
      <c r="I538" s="198" t="s">
        <v>129</v>
      </c>
      <c r="J538" s="266"/>
      <c r="K538" s="148"/>
      <c r="L538" s="20"/>
      <c r="M538" s="322"/>
    </row>
    <row r="539" spans="2:13" ht="19.5" customHeight="1" hidden="1">
      <c r="B539" s="48"/>
      <c r="C539" s="47"/>
      <c r="D539" s="226"/>
      <c r="E539" s="113"/>
      <c r="F539" s="114"/>
      <c r="G539" s="114"/>
      <c r="H539" s="385"/>
      <c r="I539" s="197" t="s">
        <v>316</v>
      </c>
      <c r="J539" s="264"/>
      <c r="K539" s="148" t="s">
        <v>5</v>
      </c>
      <c r="L539" s="20"/>
      <c r="M539" s="322">
        <v>50000</v>
      </c>
    </row>
    <row r="540" spans="2:13" ht="19.5" customHeight="1" hidden="1">
      <c r="B540" s="48"/>
      <c r="C540" s="47"/>
      <c r="D540" s="226"/>
      <c r="E540" s="113"/>
      <c r="F540" s="114"/>
      <c r="G540" s="114"/>
      <c r="H540" s="385"/>
      <c r="I540" s="197" t="s">
        <v>317</v>
      </c>
      <c r="J540" s="264"/>
      <c r="K540" s="148" t="s">
        <v>84</v>
      </c>
      <c r="L540" s="20"/>
      <c r="M540" s="322">
        <v>200000</v>
      </c>
    </row>
    <row r="541" spans="2:13" ht="19.5" customHeight="1" hidden="1">
      <c r="B541" s="48"/>
      <c r="C541" s="47"/>
      <c r="D541" s="226"/>
      <c r="E541" s="113"/>
      <c r="F541" s="114"/>
      <c r="G541" s="114"/>
      <c r="H541" s="385"/>
      <c r="I541" s="197" t="s">
        <v>318</v>
      </c>
      <c r="J541" s="264"/>
      <c r="K541" s="148" t="s">
        <v>27</v>
      </c>
      <c r="L541" s="20"/>
      <c r="M541" s="322">
        <v>200000</v>
      </c>
    </row>
    <row r="542" spans="2:13" ht="19.5" customHeight="1" hidden="1">
      <c r="B542" s="48"/>
      <c r="C542" s="47"/>
      <c r="D542" s="226"/>
      <c r="E542" s="113"/>
      <c r="F542" s="114"/>
      <c r="G542" s="114"/>
      <c r="H542" s="385"/>
      <c r="I542" s="197" t="s">
        <v>319</v>
      </c>
      <c r="J542" s="264"/>
      <c r="K542" s="148" t="s">
        <v>28</v>
      </c>
      <c r="L542" s="20"/>
      <c r="M542" s="322">
        <v>800000</v>
      </c>
    </row>
    <row r="543" spans="2:13" ht="19.5" customHeight="1" hidden="1">
      <c r="B543" s="48"/>
      <c r="C543" s="47"/>
      <c r="D543" s="226"/>
      <c r="E543" s="113"/>
      <c r="F543" s="114"/>
      <c r="G543" s="114"/>
      <c r="H543" s="385"/>
      <c r="I543" s="197" t="s">
        <v>320</v>
      </c>
      <c r="J543" s="264"/>
      <c r="K543" s="148" t="s">
        <v>13</v>
      </c>
      <c r="L543" s="20"/>
      <c r="M543" s="322">
        <v>50000</v>
      </c>
    </row>
    <row r="544" spans="2:13" ht="19.5" customHeight="1" hidden="1">
      <c r="B544" s="48"/>
      <c r="C544" s="47"/>
      <c r="D544" s="226"/>
      <c r="E544" s="113"/>
      <c r="F544" s="114"/>
      <c r="G544" s="114"/>
      <c r="H544" s="385"/>
      <c r="I544" s="197" t="s">
        <v>321</v>
      </c>
      <c r="J544" s="264"/>
      <c r="K544" s="148" t="s">
        <v>1</v>
      </c>
      <c r="L544" s="20"/>
      <c r="M544" s="322">
        <v>60000</v>
      </c>
    </row>
    <row r="545" spans="2:13" ht="19.5" customHeight="1" hidden="1">
      <c r="B545" s="48"/>
      <c r="C545" s="47"/>
      <c r="D545" s="226"/>
      <c r="E545" s="113"/>
      <c r="F545" s="114"/>
      <c r="G545" s="114"/>
      <c r="H545" s="385"/>
      <c r="I545" s="198" t="s">
        <v>130</v>
      </c>
      <c r="J545" s="266"/>
      <c r="K545" s="148"/>
      <c r="L545" s="20"/>
      <c r="M545" s="322"/>
    </row>
    <row r="546" spans="2:13" ht="19.5" customHeight="1" hidden="1">
      <c r="B546" s="48"/>
      <c r="C546" s="47"/>
      <c r="D546" s="226"/>
      <c r="E546" s="113"/>
      <c r="F546" s="114"/>
      <c r="G546" s="114"/>
      <c r="H546" s="385"/>
      <c r="I546" s="197" t="s">
        <v>322</v>
      </c>
      <c r="J546" s="264"/>
      <c r="K546" s="148" t="s">
        <v>29</v>
      </c>
      <c r="L546" s="20"/>
      <c r="M546" s="322">
        <v>150000</v>
      </c>
    </row>
    <row r="547" spans="2:13" ht="19.5" customHeight="1" hidden="1">
      <c r="B547" s="48"/>
      <c r="C547" s="47"/>
      <c r="D547" s="226"/>
      <c r="E547" s="113"/>
      <c r="F547" s="114"/>
      <c r="G547" s="114"/>
      <c r="H547" s="385"/>
      <c r="I547" s="197" t="s">
        <v>323</v>
      </c>
      <c r="J547" s="264"/>
      <c r="K547" s="148" t="s">
        <v>30</v>
      </c>
      <c r="L547" s="20"/>
      <c r="M547" s="322">
        <v>400000</v>
      </c>
    </row>
    <row r="548" spans="2:13" ht="19.5" customHeight="1" hidden="1">
      <c r="B548" s="48"/>
      <c r="C548" s="47"/>
      <c r="D548" s="226"/>
      <c r="E548" s="113"/>
      <c r="F548" s="114"/>
      <c r="G548" s="114"/>
      <c r="H548" s="385"/>
      <c r="I548" s="197" t="s">
        <v>324</v>
      </c>
      <c r="J548" s="264"/>
      <c r="K548" s="148" t="s">
        <v>13</v>
      </c>
      <c r="L548" s="20"/>
      <c r="M548" s="322">
        <v>50000</v>
      </c>
    </row>
    <row r="549" spans="2:13" ht="19.5" customHeight="1" hidden="1">
      <c r="B549" s="48"/>
      <c r="C549" s="47"/>
      <c r="D549" s="226"/>
      <c r="E549" s="113"/>
      <c r="F549" s="114"/>
      <c r="G549" s="114"/>
      <c r="H549" s="386"/>
      <c r="I549" s="197" t="s">
        <v>325</v>
      </c>
      <c r="J549" s="264"/>
      <c r="K549" s="148" t="s">
        <v>13</v>
      </c>
      <c r="L549" s="20"/>
      <c r="M549" s="322">
        <v>50000</v>
      </c>
    </row>
    <row r="550" spans="2:13" ht="19.5" customHeight="1" hidden="1">
      <c r="B550" s="48"/>
      <c r="C550" s="47"/>
      <c r="D550" s="226"/>
      <c r="E550" s="113"/>
      <c r="F550" s="114"/>
      <c r="G550" s="114"/>
      <c r="H550" s="386"/>
      <c r="I550" s="197" t="s">
        <v>326</v>
      </c>
      <c r="J550" s="264"/>
      <c r="K550" s="148" t="s">
        <v>31</v>
      </c>
      <c r="L550" s="20"/>
      <c r="M550" s="322">
        <v>450000</v>
      </c>
    </row>
    <row r="551" spans="2:13" ht="19.5" customHeight="1" hidden="1">
      <c r="B551" s="48"/>
      <c r="C551" s="47"/>
      <c r="D551" s="226"/>
      <c r="E551" s="113"/>
      <c r="F551" s="114"/>
      <c r="G551" s="114"/>
      <c r="H551" s="385"/>
      <c r="I551" s="197" t="s">
        <v>320</v>
      </c>
      <c r="J551" s="264"/>
      <c r="K551" s="148" t="s">
        <v>13</v>
      </c>
      <c r="L551" s="20"/>
      <c r="M551" s="322">
        <v>50000</v>
      </c>
    </row>
    <row r="552" spans="2:13" ht="19.5" customHeight="1" hidden="1">
      <c r="B552" s="35"/>
      <c r="C552" s="35"/>
      <c r="D552" s="227"/>
      <c r="E552" s="115"/>
      <c r="F552" s="116"/>
      <c r="G552" s="116"/>
      <c r="H552" s="387"/>
      <c r="I552" s="199" t="s">
        <v>321</v>
      </c>
      <c r="J552" s="267"/>
      <c r="K552" s="151" t="s">
        <v>1</v>
      </c>
      <c r="L552" s="25"/>
      <c r="M552" s="323">
        <v>60000</v>
      </c>
    </row>
    <row r="553" spans="2:13" ht="19.5" customHeight="1" hidden="1">
      <c r="B553" s="38"/>
      <c r="C553" s="38"/>
      <c r="D553" s="231"/>
      <c r="E553" s="121"/>
      <c r="F553" s="122"/>
      <c r="G553" s="122"/>
      <c r="H553" s="388"/>
      <c r="I553" s="147"/>
      <c r="J553" s="271"/>
      <c r="K553" s="150"/>
      <c r="L553" s="7"/>
      <c r="M553" s="329"/>
    </row>
    <row r="554" spans="2:13" ht="19.5" customHeight="1" hidden="1">
      <c r="B554" s="36"/>
      <c r="C554" s="36"/>
      <c r="D554" s="225"/>
      <c r="E554" s="111"/>
      <c r="F554" s="112"/>
      <c r="G554" s="112"/>
      <c r="H554" s="278"/>
      <c r="I554" s="143"/>
      <c r="J554" s="264"/>
      <c r="K554" s="148"/>
      <c r="L554" s="20"/>
      <c r="M554" s="324"/>
    </row>
    <row r="555" spans="2:13" ht="19.5" customHeight="1" hidden="1">
      <c r="B555" s="36"/>
      <c r="C555" s="36"/>
      <c r="D555" s="225"/>
      <c r="E555" s="111"/>
      <c r="F555" s="112"/>
      <c r="G555" s="112"/>
      <c r="H555" s="278"/>
      <c r="I555" s="143"/>
      <c r="J555" s="264"/>
      <c r="K555" s="148"/>
      <c r="L555" s="20"/>
      <c r="M555" s="324"/>
    </row>
    <row r="556" spans="2:13" ht="19.5" customHeight="1" hidden="1">
      <c r="B556" s="36"/>
      <c r="C556" s="36"/>
      <c r="D556" s="225"/>
      <c r="E556" s="111"/>
      <c r="F556" s="112"/>
      <c r="G556" s="112"/>
      <c r="H556" s="278"/>
      <c r="I556" s="143"/>
      <c r="J556" s="264"/>
      <c r="K556" s="148"/>
      <c r="L556" s="20"/>
      <c r="M556" s="324"/>
    </row>
    <row r="557" spans="2:13" ht="19.5" customHeight="1" hidden="1">
      <c r="B557" s="40" t="s">
        <v>81</v>
      </c>
      <c r="C557" s="40"/>
      <c r="E557" s="94"/>
      <c r="H557" s="3"/>
      <c r="K557" s="143"/>
      <c r="L557" s="9"/>
      <c r="M557" s="325" t="s">
        <v>77</v>
      </c>
    </row>
    <row r="558" spans="2:13" ht="19.5" customHeight="1" hidden="1">
      <c r="B558" s="41" t="s">
        <v>74</v>
      </c>
      <c r="C558" s="41" t="s">
        <v>75</v>
      </c>
      <c r="D558" s="228" t="s">
        <v>76</v>
      </c>
      <c r="E558" s="680" t="s">
        <v>376</v>
      </c>
      <c r="F558" s="681"/>
      <c r="G558" s="678" t="s">
        <v>78</v>
      </c>
      <c r="H558" s="679"/>
      <c r="I558" s="200" t="s">
        <v>123</v>
      </c>
      <c r="J558" s="268"/>
      <c r="K558" s="145"/>
      <c r="L558" s="7"/>
      <c r="M558" s="326"/>
    </row>
    <row r="559" spans="2:13" ht="19.5" customHeight="1" hidden="1">
      <c r="B559" s="42"/>
      <c r="C559" s="42"/>
      <c r="D559" s="229"/>
      <c r="E559" s="117" t="s">
        <v>377</v>
      </c>
      <c r="F559" s="118" t="s">
        <v>378</v>
      </c>
      <c r="G559" s="118" t="s">
        <v>379</v>
      </c>
      <c r="H559" s="118" t="s">
        <v>73</v>
      </c>
      <c r="I559" s="201"/>
      <c r="J559" s="269"/>
      <c r="K559" s="146"/>
      <c r="L559" s="25"/>
      <c r="M559" s="327"/>
    </row>
    <row r="560" spans="2:13" ht="19.5" customHeight="1" hidden="1">
      <c r="B560" s="34"/>
      <c r="C560" s="34"/>
      <c r="D560" s="226"/>
      <c r="E560" s="113"/>
      <c r="F560" s="114"/>
      <c r="G560" s="114"/>
      <c r="H560" s="385"/>
      <c r="I560" s="198" t="s">
        <v>131</v>
      </c>
      <c r="J560" s="266"/>
      <c r="K560" s="148"/>
      <c r="L560" s="20"/>
      <c r="M560" s="322"/>
    </row>
    <row r="561" spans="2:13" ht="19.5" customHeight="1" hidden="1">
      <c r="B561" s="34"/>
      <c r="C561" s="34"/>
      <c r="D561" s="226"/>
      <c r="E561" s="113"/>
      <c r="F561" s="114"/>
      <c r="G561" s="114"/>
      <c r="H561" s="385"/>
      <c r="I561" s="198" t="s">
        <v>52</v>
      </c>
      <c r="J561" s="266"/>
      <c r="K561" s="148" t="s">
        <v>83</v>
      </c>
      <c r="L561" s="20"/>
      <c r="M561" s="322">
        <v>80000</v>
      </c>
    </row>
    <row r="562" spans="2:13" ht="19.5" customHeight="1" hidden="1">
      <c r="B562" s="34"/>
      <c r="C562" s="34"/>
      <c r="D562" s="226"/>
      <c r="E562" s="113"/>
      <c r="F562" s="114"/>
      <c r="G562" s="114"/>
      <c r="H562" s="385"/>
      <c r="I562" s="197" t="s">
        <v>135</v>
      </c>
      <c r="J562" s="264"/>
      <c r="K562" s="148" t="s">
        <v>32</v>
      </c>
      <c r="L562" s="20"/>
      <c r="M562" s="322">
        <v>120000</v>
      </c>
    </row>
    <row r="563" spans="2:13" ht="19.5" customHeight="1" hidden="1">
      <c r="B563" s="34"/>
      <c r="C563" s="34"/>
      <c r="D563" s="226"/>
      <c r="E563" s="113"/>
      <c r="F563" s="114"/>
      <c r="G563" s="114"/>
      <c r="H563" s="385"/>
      <c r="I563" s="197" t="s">
        <v>136</v>
      </c>
      <c r="J563" s="264"/>
      <c r="K563" s="148" t="s">
        <v>33</v>
      </c>
      <c r="L563" s="20"/>
      <c r="M563" s="322">
        <v>300000</v>
      </c>
    </row>
    <row r="564" spans="2:13" ht="19.5" customHeight="1" hidden="1">
      <c r="B564" s="34"/>
      <c r="C564" s="34"/>
      <c r="D564" s="226"/>
      <c r="E564" s="113"/>
      <c r="F564" s="114"/>
      <c r="G564" s="114"/>
      <c r="H564" s="385"/>
      <c r="I564" s="197" t="s">
        <v>137</v>
      </c>
      <c r="J564" s="264"/>
      <c r="K564" s="148" t="s">
        <v>34</v>
      </c>
      <c r="L564" s="20"/>
      <c r="M564" s="322">
        <v>300000</v>
      </c>
    </row>
    <row r="565" spans="2:13" ht="19.5" customHeight="1" hidden="1">
      <c r="B565" s="34"/>
      <c r="C565" s="34"/>
      <c r="D565" s="226"/>
      <c r="E565" s="113"/>
      <c r="F565" s="114"/>
      <c r="G565" s="114"/>
      <c r="H565" s="385"/>
      <c r="I565" s="197" t="s">
        <v>138</v>
      </c>
      <c r="J565" s="264"/>
      <c r="K565" s="148" t="s">
        <v>35</v>
      </c>
      <c r="L565" s="20"/>
      <c r="M565" s="322">
        <v>400000</v>
      </c>
    </row>
    <row r="566" spans="2:13" ht="19.5" customHeight="1" hidden="1">
      <c r="B566" s="34"/>
      <c r="C566" s="34"/>
      <c r="D566" s="226"/>
      <c r="E566" s="113"/>
      <c r="F566" s="114"/>
      <c r="G566" s="114"/>
      <c r="H566" s="385"/>
      <c r="I566" s="197" t="s">
        <v>139</v>
      </c>
      <c r="J566" s="264"/>
      <c r="K566" s="148" t="s">
        <v>36</v>
      </c>
      <c r="L566" s="20"/>
      <c r="M566" s="322">
        <v>400000</v>
      </c>
    </row>
    <row r="567" spans="2:13" ht="19.5" customHeight="1" hidden="1">
      <c r="B567" s="34"/>
      <c r="C567" s="34"/>
      <c r="D567" s="226"/>
      <c r="E567" s="113"/>
      <c r="F567" s="114"/>
      <c r="G567" s="114"/>
      <c r="H567" s="385"/>
      <c r="I567" s="197" t="s">
        <v>140</v>
      </c>
      <c r="J567" s="264"/>
      <c r="K567" s="148" t="s">
        <v>36</v>
      </c>
      <c r="L567" s="20"/>
      <c r="M567" s="322">
        <v>400000</v>
      </c>
    </row>
    <row r="568" spans="2:13" ht="19.5" customHeight="1" hidden="1">
      <c r="B568" s="34"/>
      <c r="C568" s="34"/>
      <c r="D568" s="226"/>
      <c r="E568" s="113"/>
      <c r="F568" s="114"/>
      <c r="G568" s="114"/>
      <c r="H568" s="385"/>
      <c r="I568" s="197" t="s">
        <v>141</v>
      </c>
      <c r="J568" s="264"/>
      <c r="K568" s="148" t="s">
        <v>105</v>
      </c>
      <c r="L568" s="20"/>
      <c r="M568" s="322">
        <v>100000</v>
      </c>
    </row>
    <row r="569" spans="2:13" ht="20.25" customHeight="1" hidden="1">
      <c r="B569" s="34"/>
      <c r="C569" s="34"/>
      <c r="D569" s="226"/>
      <c r="E569" s="113"/>
      <c r="F569" s="114"/>
      <c r="G569" s="114"/>
      <c r="H569" s="385"/>
      <c r="I569" s="197" t="s">
        <v>327</v>
      </c>
      <c r="J569" s="264"/>
      <c r="K569" s="148" t="s">
        <v>37</v>
      </c>
      <c r="L569" s="20"/>
      <c r="M569" s="322">
        <v>150000</v>
      </c>
    </row>
    <row r="570" spans="2:13" ht="19.5" customHeight="1" hidden="1">
      <c r="B570" s="34"/>
      <c r="C570" s="34"/>
      <c r="D570" s="226"/>
      <c r="E570" s="113"/>
      <c r="F570" s="114"/>
      <c r="G570" s="114"/>
      <c r="H570" s="385"/>
      <c r="I570" s="197" t="s">
        <v>328</v>
      </c>
      <c r="J570" s="264"/>
      <c r="K570" s="148" t="s">
        <v>38</v>
      </c>
      <c r="L570" s="20"/>
      <c r="M570" s="322">
        <v>60000</v>
      </c>
    </row>
    <row r="571" spans="2:13" ht="19.5" customHeight="1" hidden="1">
      <c r="B571" s="34"/>
      <c r="C571" s="34"/>
      <c r="D571" s="227"/>
      <c r="E571" s="115"/>
      <c r="F571" s="116"/>
      <c r="G571" s="116"/>
      <c r="H571" s="389"/>
      <c r="I571" s="199" t="s">
        <v>329</v>
      </c>
      <c r="J571" s="267"/>
      <c r="K571" s="151" t="s">
        <v>1</v>
      </c>
      <c r="L571" s="25"/>
      <c r="M571" s="323">
        <v>60000</v>
      </c>
    </row>
    <row r="572" spans="2:13" ht="19.5" customHeight="1" hidden="1">
      <c r="B572" s="34"/>
      <c r="C572" s="34"/>
      <c r="D572" s="226" t="s">
        <v>79</v>
      </c>
      <c r="E572" s="113">
        <v>18080000</v>
      </c>
      <c r="F572" s="114">
        <f>SUM(M572:M597)</f>
        <v>15440000</v>
      </c>
      <c r="G572" s="114">
        <f>F572-E572</f>
        <v>-2640000</v>
      </c>
      <c r="H572" s="378">
        <f>G572/E572</f>
        <v>-0.14601769911504425</v>
      </c>
      <c r="I572" s="202" t="s">
        <v>330</v>
      </c>
      <c r="J572" s="270"/>
      <c r="K572" s="147"/>
      <c r="L572" s="7"/>
      <c r="M572" s="328"/>
    </row>
    <row r="573" spans="2:13" ht="19.5" customHeight="1" hidden="1">
      <c r="B573" s="34"/>
      <c r="C573" s="34"/>
      <c r="D573" s="226"/>
      <c r="E573" s="113"/>
      <c r="F573" s="114"/>
      <c r="G573" s="114"/>
      <c r="H573" s="124"/>
      <c r="I573" s="197" t="s">
        <v>331</v>
      </c>
      <c r="J573" s="264"/>
      <c r="K573" s="143" t="s">
        <v>90</v>
      </c>
      <c r="L573" s="20"/>
      <c r="M573" s="322">
        <v>1200000</v>
      </c>
    </row>
    <row r="574" spans="2:13" ht="19.5" customHeight="1" hidden="1">
      <c r="B574" s="34"/>
      <c r="C574" s="34"/>
      <c r="D574" s="226"/>
      <c r="E574" s="113"/>
      <c r="F574" s="114"/>
      <c r="G574" s="114"/>
      <c r="H574" s="124"/>
      <c r="I574" s="197" t="s">
        <v>91</v>
      </c>
      <c r="J574" s="264"/>
      <c r="K574" s="143" t="s">
        <v>82</v>
      </c>
      <c r="L574" s="20"/>
      <c r="M574" s="322">
        <v>500000</v>
      </c>
    </row>
    <row r="575" spans="2:13" ht="19.5" customHeight="1" hidden="1">
      <c r="B575" s="34"/>
      <c r="C575" s="34"/>
      <c r="D575" s="226"/>
      <c r="E575" s="113"/>
      <c r="F575" s="114"/>
      <c r="G575" s="114"/>
      <c r="H575" s="124"/>
      <c r="I575" s="197" t="s">
        <v>332</v>
      </c>
      <c r="J575" s="264"/>
      <c r="K575" s="143" t="s">
        <v>92</v>
      </c>
      <c r="L575" s="20"/>
      <c r="M575" s="322">
        <v>180000</v>
      </c>
    </row>
    <row r="576" spans="2:13" ht="19.5" customHeight="1" hidden="1">
      <c r="B576" s="34"/>
      <c r="C576" s="34"/>
      <c r="D576" s="226"/>
      <c r="E576" s="113"/>
      <c r="F576" s="114"/>
      <c r="G576" s="114"/>
      <c r="H576" s="124"/>
      <c r="I576" s="197" t="s">
        <v>93</v>
      </c>
      <c r="J576" s="264"/>
      <c r="K576" s="152" t="s">
        <v>94</v>
      </c>
      <c r="L576" s="32"/>
      <c r="M576" s="322">
        <v>600000</v>
      </c>
    </row>
    <row r="577" spans="2:13" ht="19.5" customHeight="1" hidden="1">
      <c r="B577" s="34"/>
      <c r="C577" s="34"/>
      <c r="D577" s="226"/>
      <c r="E577" s="113"/>
      <c r="F577" s="114"/>
      <c r="G577" s="114"/>
      <c r="H577" s="124"/>
      <c r="I577" s="197" t="s">
        <v>95</v>
      </c>
      <c r="J577" s="264"/>
      <c r="K577" s="143" t="s">
        <v>82</v>
      </c>
      <c r="L577" s="20"/>
      <c r="M577" s="322">
        <v>500000</v>
      </c>
    </row>
    <row r="578" spans="2:13" ht="19.5" customHeight="1" hidden="1">
      <c r="B578" s="34"/>
      <c r="C578" s="34"/>
      <c r="D578" s="226"/>
      <c r="E578" s="113"/>
      <c r="F578" s="114"/>
      <c r="G578" s="114"/>
      <c r="H578" s="124"/>
      <c r="I578" s="197" t="s">
        <v>96</v>
      </c>
      <c r="J578" s="264"/>
      <c r="K578" s="143" t="s">
        <v>98</v>
      </c>
      <c r="L578" s="20"/>
      <c r="M578" s="322">
        <v>840000</v>
      </c>
    </row>
    <row r="579" spans="2:13" ht="19.5" customHeight="1" hidden="1">
      <c r="B579" s="34"/>
      <c r="C579" s="34"/>
      <c r="D579" s="226"/>
      <c r="E579" s="113"/>
      <c r="F579" s="114"/>
      <c r="G579" s="114"/>
      <c r="H579" s="124"/>
      <c r="I579" s="197" t="s">
        <v>333</v>
      </c>
      <c r="J579" s="264"/>
      <c r="K579" s="143" t="s">
        <v>97</v>
      </c>
      <c r="L579" s="20"/>
      <c r="M579" s="322">
        <v>120000</v>
      </c>
    </row>
    <row r="580" spans="2:13" ht="19.5" customHeight="1" hidden="1">
      <c r="B580" s="34"/>
      <c r="C580" s="34"/>
      <c r="D580" s="226"/>
      <c r="E580" s="113"/>
      <c r="F580" s="114"/>
      <c r="G580" s="114"/>
      <c r="H580" s="124"/>
      <c r="I580" s="197" t="s">
        <v>99</v>
      </c>
      <c r="J580" s="264"/>
      <c r="K580" s="143" t="s">
        <v>82</v>
      </c>
      <c r="L580" s="20"/>
      <c r="M580" s="322">
        <v>500000</v>
      </c>
    </row>
    <row r="581" spans="2:13" ht="19.5" customHeight="1" hidden="1">
      <c r="B581" s="34"/>
      <c r="C581" s="34"/>
      <c r="D581" s="226"/>
      <c r="E581" s="113"/>
      <c r="F581" s="114"/>
      <c r="G581" s="114"/>
      <c r="H581" s="124"/>
      <c r="I581" s="197" t="s">
        <v>100</v>
      </c>
      <c r="J581" s="264"/>
      <c r="K581" s="143" t="s">
        <v>39</v>
      </c>
      <c r="L581" s="20"/>
      <c r="M581" s="322">
        <v>1600000</v>
      </c>
    </row>
    <row r="582" spans="2:13" ht="19.5" customHeight="1" hidden="1">
      <c r="B582" s="34"/>
      <c r="C582" s="34"/>
      <c r="D582" s="226"/>
      <c r="E582" s="113"/>
      <c r="F582" s="114"/>
      <c r="G582" s="114"/>
      <c r="H582" s="124"/>
      <c r="I582" s="197" t="s">
        <v>334</v>
      </c>
      <c r="J582" s="264"/>
      <c r="K582" s="143" t="s">
        <v>101</v>
      </c>
      <c r="L582" s="20"/>
      <c r="M582" s="322">
        <v>2000000</v>
      </c>
    </row>
    <row r="583" spans="2:13" ht="19.5" customHeight="1" hidden="1">
      <c r="B583" s="35"/>
      <c r="C583" s="35"/>
      <c r="D583" s="227"/>
      <c r="E583" s="115"/>
      <c r="F583" s="116"/>
      <c r="G583" s="116"/>
      <c r="H583" s="387"/>
      <c r="I583" s="199" t="s">
        <v>102</v>
      </c>
      <c r="J583" s="267"/>
      <c r="K583" s="144" t="s">
        <v>40</v>
      </c>
      <c r="L583" s="25"/>
      <c r="M583" s="323">
        <v>600000</v>
      </c>
    </row>
    <row r="584" spans="2:13" ht="19.5" customHeight="1" hidden="1">
      <c r="B584" s="40" t="s">
        <v>81</v>
      </c>
      <c r="C584" s="40"/>
      <c r="E584" s="94"/>
      <c r="H584" s="3"/>
      <c r="L584" s="9"/>
      <c r="M584" s="325"/>
    </row>
    <row r="585" spans="2:13" ht="19.5" customHeight="1" hidden="1">
      <c r="B585" s="41" t="s">
        <v>74</v>
      </c>
      <c r="C585" s="41" t="s">
        <v>75</v>
      </c>
      <c r="D585" s="228" t="s">
        <v>76</v>
      </c>
      <c r="E585" s="680" t="s">
        <v>376</v>
      </c>
      <c r="F585" s="681"/>
      <c r="G585" s="678" t="s">
        <v>78</v>
      </c>
      <c r="H585" s="679"/>
      <c r="I585" s="200" t="s">
        <v>123</v>
      </c>
      <c r="J585" s="268"/>
      <c r="K585" s="145"/>
      <c r="L585" s="7"/>
      <c r="M585" s="326"/>
    </row>
    <row r="586" spans="2:13" ht="19.5" customHeight="1" hidden="1">
      <c r="B586" s="42"/>
      <c r="C586" s="42"/>
      <c r="D586" s="229"/>
      <c r="E586" s="117" t="s">
        <v>377</v>
      </c>
      <c r="F586" s="118" t="s">
        <v>378</v>
      </c>
      <c r="G586" s="118" t="s">
        <v>379</v>
      </c>
      <c r="H586" s="118" t="s">
        <v>73</v>
      </c>
      <c r="I586" s="201"/>
      <c r="J586" s="269"/>
      <c r="K586" s="146"/>
      <c r="L586" s="25"/>
      <c r="M586" s="327"/>
    </row>
    <row r="587" spans="2:13" ht="19.5" customHeight="1" hidden="1">
      <c r="B587" s="34"/>
      <c r="C587" s="34"/>
      <c r="D587" s="226"/>
      <c r="E587" s="113"/>
      <c r="F587" s="114"/>
      <c r="G587" s="114"/>
      <c r="H587" s="124"/>
      <c r="I587" s="198" t="s">
        <v>335</v>
      </c>
      <c r="J587" s="266"/>
      <c r="K587" s="143"/>
      <c r="L587" s="20"/>
      <c r="M587" s="322"/>
    </row>
    <row r="588" spans="2:13" ht="19.5" customHeight="1" hidden="1">
      <c r="B588" s="34"/>
      <c r="C588" s="34"/>
      <c r="D588" s="226"/>
      <c r="E588" s="113"/>
      <c r="F588" s="114"/>
      <c r="G588" s="114"/>
      <c r="H588" s="124"/>
      <c r="I588" s="197" t="s">
        <v>336</v>
      </c>
      <c r="J588" s="264"/>
      <c r="K588" s="143" t="s">
        <v>41</v>
      </c>
      <c r="L588" s="20"/>
      <c r="M588" s="322">
        <v>400000</v>
      </c>
    </row>
    <row r="589" spans="2:13" ht="19.5" customHeight="1" hidden="1">
      <c r="B589" s="34"/>
      <c r="C589" s="34"/>
      <c r="D589" s="226"/>
      <c r="E589" s="113"/>
      <c r="F589" s="114"/>
      <c r="G589" s="114"/>
      <c r="H589" s="124"/>
      <c r="I589" s="197" t="s">
        <v>337</v>
      </c>
      <c r="J589" s="264"/>
      <c r="K589" s="143" t="s">
        <v>103</v>
      </c>
      <c r="L589" s="20"/>
      <c r="M589" s="322">
        <v>4800000</v>
      </c>
    </row>
    <row r="590" spans="2:13" ht="19.5" customHeight="1" hidden="1">
      <c r="B590" s="34"/>
      <c r="C590" s="34"/>
      <c r="D590" s="226"/>
      <c r="E590" s="113"/>
      <c r="F590" s="114"/>
      <c r="G590" s="114"/>
      <c r="H590" s="124"/>
      <c r="I590" s="197" t="s">
        <v>338</v>
      </c>
      <c r="J590" s="264"/>
      <c r="K590" s="143" t="s">
        <v>85</v>
      </c>
      <c r="L590" s="20"/>
      <c r="M590" s="322">
        <v>120000</v>
      </c>
    </row>
    <row r="591" spans="2:13" ht="19.5" customHeight="1" hidden="1">
      <c r="B591" s="34"/>
      <c r="C591" s="34"/>
      <c r="D591" s="226"/>
      <c r="E591" s="113"/>
      <c r="F591" s="114"/>
      <c r="G591" s="114"/>
      <c r="H591" s="124"/>
      <c r="I591" s="197" t="s">
        <v>104</v>
      </c>
      <c r="J591" s="264"/>
      <c r="K591" s="143" t="s">
        <v>83</v>
      </c>
      <c r="L591" s="20"/>
      <c r="M591" s="322">
        <v>80000</v>
      </c>
    </row>
    <row r="592" spans="2:13" ht="19.5" customHeight="1" hidden="1">
      <c r="B592" s="34"/>
      <c r="C592" s="34"/>
      <c r="D592" s="226"/>
      <c r="E592" s="113"/>
      <c r="F592" s="114"/>
      <c r="G592" s="114"/>
      <c r="H592" s="385"/>
      <c r="I592" s="198" t="s">
        <v>339</v>
      </c>
      <c r="J592" s="266"/>
      <c r="K592" s="143"/>
      <c r="L592" s="20"/>
      <c r="M592" s="322"/>
    </row>
    <row r="593" spans="2:13" ht="19.5" customHeight="1" hidden="1">
      <c r="B593" s="34"/>
      <c r="C593" s="34"/>
      <c r="D593" s="226"/>
      <c r="E593" s="113"/>
      <c r="F593" s="114"/>
      <c r="G593" s="114"/>
      <c r="H593" s="385"/>
      <c r="I593" s="197" t="s">
        <v>340</v>
      </c>
      <c r="J593" s="264"/>
      <c r="K593" s="143" t="s">
        <v>84</v>
      </c>
      <c r="L593" s="20"/>
      <c r="M593" s="322">
        <v>200000</v>
      </c>
    </row>
    <row r="594" spans="2:13" ht="19.5" customHeight="1" hidden="1">
      <c r="B594" s="34"/>
      <c r="C594" s="34"/>
      <c r="D594" s="226"/>
      <c r="E594" s="113"/>
      <c r="F594" s="114"/>
      <c r="G594" s="114"/>
      <c r="H594" s="385"/>
      <c r="I594" s="197" t="s">
        <v>341</v>
      </c>
      <c r="J594" s="264"/>
      <c r="K594" s="143" t="s">
        <v>42</v>
      </c>
      <c r="L594" s="20"/>
      <c r="M594" s="322">
        <v>600000</v>
      </c>
    </row>
    <row r="595" spans="2:13" ht="19.5" customHeight="1" hidden="1">
      <c r="B595" s="34"/>
      <c r="C595" s="34"/>
      <c r="D595" s="226"/>
      <c r="E595" s="113"/>
      <c r="F595" s="114"/>
      <c r="G595" s="114"/>
      <c r="H595" s="385"/>
      <c r="I595" s="198" t="s">
        <v>342</v>
      </c>
      <c r="J595" s="266"/>
      <c r="K595" s="143"/>
      <c r="L595" s="20"/>
      <c r="M595" s="322"/>
    </row>
    <row r="596" spans="2:13" ht="19.5" customHeight="1" hidden="1">
      <c r="B596" s="34"/>
      <c r="C596" s="34"/>
      <c r="D596" s="226"/>
      <c r="E596" s="113"/>
      <c r="F596" s="114"/>
      <c r="G596" s="114"/>
      <c r="H596" s="385"/>
      <c r="I596" s="197" t="s">
        <v>343</v>
      </c>
      <c r="J596" s="264"/>
      <c r="K596" s="143" t="s">
        <v>41</v>
      </c>
      <c r="L596" s="20"/>
      <c r="M596" s="322">
        <v>400000</v>
      </c>
    </row>
    <row r="597" spans="2:13" ht="19.5" customHeight="1" hidden="1">
      <c r="B597" s="34"/>
      <c r="C597" s="34"/>
      <c r="D597" s="226"/>
      <c r="E597" s="113"/>
      <c r="F597" s="114"/>
      <c r="G597" s="114"/>
      <c r="H597" s="385"/>
      <c r="I597" s="197" t="s">
        <v>344</v>
      </c>
      <c r="J597" s="264"/>
      <c r="K597" s="143" t="s">
        <v>43</v>
      </c>
      <c r="L597" s="20"/>
      <c r="M597" s="322">
        <v>200000</v>
      </c>
    </row>
    <row r="598" spans="2:13" ht="19.5" customHeight="1" hidden="1">
      <c r="B598" s="34"/>
      <c r="C598" s="34"/>
      <c r="D598" s="230" t="s">
        <v>88</v>
      </c>
      <c r="E598" s="119">
        <v>2250000</v>
      </c>
      <c r="F598" s="120">
        <f>SUM(M598:M620)</f>
        <v>2200000</v>
      </c>
      <c r="G598" s="120">
        <f>F598-E598</f>
        <v>-50000</v>
      </c>
      <c r="H598" s="380">
        <f>G598/E598</f>
        <v>-0.022222222222222223</v>
      </c>
      <c r="I598" s="202" t="s">
        <v>106</v>
      </c>
      <c r="J598" s="270"/>
      <c r="K598" s="150"/>
      <c r="L598" s="7"/>
      <c r="M598" s="328"/>
    </row>
    <row r="599" spans="2:13" ht="19.5" customHeight="1" hidden="1">
      <c r="B599" s="34"/>
      <c r="C599" s="34"/>
      <c r="D599" s="226"/>
      <c r="E599" s="113"/>
      <c r="F599" s="114"/>
      <c r="G599" s="114"/>
      <c r="H599" s="124"/>
      <c r="I599" s="197" t="s">
        <v>345</v>
      </c>
      <c r="J599" s="264"/>
      <c r="K599" s="148" t="s">
        <v>105</v>
      </c>
      <c r="L599" s="20"/>
      <c r="M599" s="322">
        <v>100000</v>
      </c>
    </row>
    <row r="600" spans="2:13" ht="19.5" customHeight="1" hidden="1">
      <c r="B600" s="34"/>
      <c r="C600" s="34"/>
      <c r="D600" s="226"/>
      <c r="E600" s="113"/>
      <c r="F600" s="114"/>
      <c r="G600" s="114"/>
      <c r="H600" s="124"/>
      <c r="I600" s="197" t="s">
        <v>86</v>
      </c>
      <c r="J600" s="264"/>
      <c r="K600" s="148" t="s">
        <v>80</v>
      </c>
      <c r="L600" s="20"/>
      <c r="M600" s="322">
        <v>100000</v>
      </c>
    </row>
    <row r="601" spans="2:13" ht="19.5" customHeight="1" hidden="1">
      <c r="B601" s="34"/>
      <c r="C601" s="34"/>
      <c r="D601" s="226"/>
      <c r="E601" s="113"/>
      <c r="F601" s="114"/>
      <c r="G601" s="114"/>
      <c r="H601" s="124"/>
      <c r="I601" s="198" t="s">
        <v>346</v>
      </c>
      <c r="J601" s="266"/>
      <c r="K601" s="148" t="s">
        <v>80</v>
      </c>
      <c r="L601" s="20"/>
      <c r="M601" s="322" t="s">
        <v>107</v>
      </c>
    </row>
    <row r="602" spans="2:13" ht="19.5" customHeight="1" hidden="1">
      <c r="B602" s="34"/>
      <c r="C602" s="34"/>
      <c r="D602" s="226"/>
      <c r="E602" s="113"/>
      <c r="F602" s="114"/>
      <c r="G602" s="114"/>
      <c r="H602" s="124"/>
      <c r="I602" s="195" t="s">
        <v>343</v>
      </c>
      <c r="J602" s="258"/>
      <c r="K602" s="143" t="s">
        <v>44</v>
      </c>
      <c r="L602" s="20"/>
      <c r="M602" s="322">
        <v>500000</v>
      </c>
    </row>
    <row r="603" spans="2:13" ht="19.5" customHeight="1" hidden="1">
      <c r="B603" s="34"/>
      <c r="C603" s="34"/>
      <c r="D603" s="226"/>
      <c r="E603" s="113"/>
      <c r="F603" s="114"/>
      <c r="G603" s="114"/>
      <c r="H603" s="124"/>
      <c r="I603" s="195" t="s">
        <v>86</v>
      </c>
      <c r="J603" s="258"/>
      <c r="K603" s="153" t="s">
        <v>45</v>
      </c>
      <c r="L603" s="30"/>
      <c r="M603" s="321">
        <v>100000</v>
      </c>
    </row>
    <row r="604" spans="2:13" ht="19.5" customHeight="1" hidden="1">
      <c r="B604" s="34"/>
      <c r="C604" s="34"/>
      <c r="D604" s="226"/>
      <c r="E604" s="113"/>
      <c r="F604" s="114"/>
      <c r="G604" s="114"/>
      <c r="H604" s="124"/>
      <c r="I604" s="205" t="s">
        <v>347</v>
      </c>
      <c r="J604" s="273"/>
      <c r="L604" s="9"/>
      <c r="M604" s="322"/>
    </row>
    <row r="605" spans="2:13" ht="19.5" customHeight="1" hidden="1">
      <c r="B605" s="34"/>
      <c r="C605" s="34"/>
      <c r="D605" s="226"/>
      <c r="E605" s="113"/>
      <c r="F605" s="114"/>
      <c r="G605" s="114"/>
      <c r="H605" s="124"/>
      <c r="I605" s="129" t="s">
        <v>86</v>
      </c>
      <c r="K605" s="129" t="s">
        <v>4</v>
      </c>
      <c r="L605" s="9"/>
      <c r="M605" s="322">
        <v>240000</v>
      </c>
    </row>
    <row r="606" spans="2:13" ht="19.5" customHeight="1" hidden="1">
      <c r="B606" s="34"/>
      <c r="C606" s="34"/>
      <c r="D606" s="226"/>
      <c r="E606" s="113"/>
      <c r="F606" s="114"/>
      <c r="G606" s="114"/>
      <c r="H606" s="124"/>
      <c r="I606" s="129" t="s">
        <v>348</v>
      </c>
      <c r="K606" s="129" t="s">
        <v>11</v>
      </c>
      <c r="L606" s="9"/>
      <c r="M606" s="322">
        <v>120000</v>
      </c>
    </row>
    <row r="607" spans="2:13" ht="19.5" customHeight="1" hidden="1">
      <c r="B607" s="34"/>
      <c r="C607" s="34"/>
      <c r="D607" s="226"/>
      <c r="E607" s="113"/>
      <c r="F607" s="114"/>
      <c r="G607" s="114"/>
      <c r="H607" s="124"/>
      <c r="I607" s="205" t="s">
        <v>349</v>
      </c>
      <c r="J607" s="273"/>
      <c r="L607" s="9"/>
      <c r="M607" s="322" t="s">
        <v>107</v>
      </c>
    </row>
    <row r="608" spans="2:13" ht="19.5" customHeight="1" hidden="1">
      <c r="B608" s="34"/>
      <c r="C608" s="34"/>
      <c r="D608" s="226"/>
      <c r="E608" s="113"/>
      <c r="F608" s="114"/>
      <c r="G608" s="114"/>
      <c r="H608" s="124"/>
      <c r="I608" s="129" t="s">
        <v>86</v>
      </c>
      <c r="K608" s="129" t="s">
        <v>4</v>
      </c>
      <c r="L608" s="9"/>
      <c r="M608" s="322">
        <v>240000</v>
      </c>
    </row>
    <row r="609" spans="2:13" ht="19.5" customHeight="1" hidden="1">
      <c r="B609" s="38"/>
      <c r="C609" s="38"/>
      <c r="D609" s="231"/>
      <c r="E609" s="121"/>
      <c r="F609" s="122"/>
      <c r="G609" s="122"/>
      <c r="H609" s="388"/>
      <c r="I609" s="147"/>
      <c r="J609" s="271"/>
      <c r="K609" s="147"/>
      <c r="L609" s="7"/>
      <c r="M609" s="329"/>
    </row>
    <row r="610" spans="2:13" ht="19.5" customHeight="1" hidden="1">
      <c r="B610" s="36"/>
      <c r="C610" s="36"/>
      <c r="D610" s="225"/>
      <c r="E610" s="111"/>
      <c r="F610" s="112"/>
      <c r="G610" s="112"/>
      <c r="H610" s="278"/>
      <c r="I610" s="143"/>
      <c r="J610" s="264"/>
      <c r="K610" s="143"/>
      <c r="L610" s="20"/>
      <c r="M610" s="324"/>
    </row>
    <row r="611" spans="2:13" ht="19.5" customHeight="1" hidden="1">
      <c r="B611" s="40" t="s">
        <v>81</v>
      </c>
      <c r="C611" s="40"/>
      <c r="E611" s="94"/>
      <c r="H611" s="3"/>
      <c r="L611" s="9"/>
      <c r="M611" s="325"/>
    </row>
    <row r="612" spans="2:13" ht="19.5" customHeight="1" hidden="1">
      <c r="B612" s="41" t="s">
        <v>74</v>
      </c>
      <c r="C612" s="41" t="s">
        <v>75</v>
      </c>
      <c r="D612" s="228" t="s">
        <v>76</v>
      </c>
      <c r="E612" s="680" t="s">
        <v>376</v>
      </c>
      <c r="F612" s="681"/>
      <c r="G612" s="678" t="s">
        <v>78</v>
      </c>
      <c r="H612" s="679"/>
      <c r="I612" s="200" t="s">
        <v>123</v>
      </c>
      <c r="J612" s="268"/>
      <c r="K612" s="145"/>
      <c r="L612" s="7"/>
      <c r="M612" s="326"/>
    </row>
    <row r="613" spans="2:13" ht="19.5" customHeight="1" hidden="1">
      <c r="B613" s="42"/>
      <c r="C613" s="42"/>
      <c r="D613" s="229"/>
      <c r="E613" s="117" t="s">
        <v>377</v>
      </c>
      <c r="F613" s="118" t="s">
        <v>378</v>
      </c>
      <c r="G613" s="118" t="s">
        <v>379</v>
      </c>
      <c r="H613" s="118" t="s">
        <v>73</v>
      </c>
      <c r="I613" s="201"/>
      <c r="J613" s="269"/>
      <c r="K613" s="146"/>
      <c r="L613" s="25"/>
      <c r="M613" s="327"/>
    </row>
    <row r="614" spans="2:13" ht="19.5" customHeight="1" hidden="1">
      <c r="B614" s="34"/>
      <c r="C614" s="34"/>
      <c r="D614" s="226"/>
      <c r="E614" s="113"/>
      <c r="F614" s="114"/>
      <c r="G614" s="114"/>
      <c r="H614" s="124"/>
      <c r="I614" s="205" t="s">
        <v>350</v>
      </c>
      <c r="J614" s="273"/>
      <c r="L614" s="9"/>
      <c r="M614" s="322" t="s">
        <v>107</v>
      </c>
    </row>
    <row r="615" spans="2:13" ht="19.5" customHeight="1" hidden="1">
      <c r="B615" s="34"/>
      <c r="C615" s="34"/>
      <c r="D615" s="226"/>
      <c r="E615" s="113"/>
      <c r="F615" s="114"/>
      <c r="G615" s="114"/>
      <c r="H615" s="124"/>
      <c r="I615" s="129" t="s">
        <v>351</v>
      </c>
      <c r="K615" s="129" t="s">
        <v>13</v>
      </c>
      <c r="L615" s="9"/>
      <c r="M615" s="322">
        <v>50000</v>
      </c>
    </row>
    <row r="616" spans="2:13" ht="19.5" customHeight="1" hidden="1">
      <c r="B616" s="34"/>
      <c r="C616" s="34"/>
      <c r="D616" s="226"/>
      <c r="E616" s="113"/>
      <c r="F616" s="114"/>
      <c r="G616" s="114"/>
      <c r="H616" s="124"/>
      <c r="I616" s="129" t="s">
        <v>352</v>
      </c>
      <c r="K616" s="129" t="s">
        <v>13</v>
      </c>
      <c r="L616" s="9"/>
      <c r="M616" s="322">
        <v>50000</v>
      </c>
    </row>
    <row r="617" spans="2:13" ht="19.5" customHeight="1" hidden="1">
      <c r="B617" s="34"/>
      <c r="C617" s="34"/>
      <c r="D617" s="226"/>
      <c r="E617" s="113"/>
      <c r="F617" s="114"/>
      <c r="G617" s="114"/>
      <c r="H617" s="124"/>
      <c r="I617" s="129" t="s">
        <v>353</v>
      </c>
      <c r="K617" s="129" t="s">
        <v>380</v>
      </c>
      <c r="L617" s="9"/>
      <c r="M617" s="322">
        <v>100000</v>
      </c>
    </row>
    <row r="618" spans="2:13" ht="19.5" customHeight="1" hidden="1">
      <c r="B618" s="34"/>
      <c r="C618" s="34"/>
      <c r="D618" s="226"/>
      <c r="E618" s="113"/>
      <c r="F618" s="114"/>
      <c r="G618" s="114"/>
      <c r="H618" s="124"/>
      <c r="I618" s="129" t="s">
        <v>86</v>
      </c>
      <c r="K618" s="129" t="s">
        <v>4</v>
      </c>
      <c r="L618" s="9"/>
      <c r="M618" s="322">
        <v>240000</v>
      </c>
    </row>
    <row r="619" spans="2:13" ht="19.5" customHeight="1" hidden="1">
      <c r="B619" s="34"/>
      <c r="C619" s="34"/>
      <c r="D619" s="226"/>
      <c r="E619" s="113"/>
      <c r="F619" s="114"/>
      <c r="G619" s="114"/>
      <c r="H619" s="124"/>
      <c r="I619" s="129" t="s">
        <v>348</v>
      </c>
      <c r="K619" s="129" t="s">
        <v>1</v>
      </c>
      <c r="L619" s="9"/>
      <c r="M619" s="322">
        <v>60000</v>
      </c>
    </row>
    <row r="620" spans="2:13" ht="19.5" customHeight="1" hidden="1">
      <c r="B620" s="34"/>
      <c r="C620" s="34"/>
      <c r="D620" s="226"/>
      <c r="E620" s="113"/>
      <c r="F620" s="114"/>
      <c r="G620" s="114"/>
      <c r="H620" s="124"/>
      <c r="I620" s="129" t="s">
        <v>274</v>
      </c>
      <c r="K620" s="129" t="s">
        <v>33</v>
      </c>
      <c r="L620" s="9"/>
      <c r="M620" s="323">
        <v>300000</v>
      </c>
    </row>
    <row r="621" spans="2:13" ht="19.5" customHeight="1" hidden="1">
      <c r="B621" s="37"/>
      <c r="C621" s="37"/>
      <c r="D621" s="230" t="s">
        <v>89</v>
      </c>
      <c r="E621" s="119">
        <v>1800000</v>
      </c>
      <c r="F621" s="120">
        <f>SUM(M621:M632)</f>
        <v>1970000</v>
      </c>
      <c r="G621" s="120">
        <f>F621-E621</f>
        <v>170000</v>
      </c>
      <c r="H621" s="390">
        <f>G621/E621</f>
        <v>0.09444444444444444</v>
      </c>
      <c r="I621" s="202" t="s">
        <v>133</v>
      </c>
      <c r="J621" s="270"/>
      <c r="K621" s="150"/>
      <c r="L621" s="7"/>
      <c r="M621" s="328"/>
    </row>
    <row r="622" spans="2:13" ht="19.5" customHeight="1" hidden="1">
      <c r="B622" s="34"/>
      <c r="C622" s="34"/>
      <c r="D622" s="226"/>
      <c r="E622" s="113"/>
      <c r="F622" s="114"/>
      <c r="G622" s="114"/>
      <c r="H622" s="385"/>
      <c r="I622" s="197" t="s">
        <v>354</v>
      </c>
      <c r="J622" s="264"/>
      <c r="K622" s="148" t="s">
        <v>20</v>
      </c>
      <c r="L622" s="20"/>
      <c r="M622" s="322">
        <v>30000</v>
      </c>
    </row>
    <row r="623" spans="2:13" ht="19.5" customHeight="1" hidden="1">
      <c r="B623" s="34"/>
      <c r="C623" s="34"/>
      <c r="D623" s="226"/>
      <c r="E623" s="113"/>
      <c r="F623" s="114"/>
      <c r="G623" s="114"/>
      <c r="H623" s="385"/>
      <c r="I623" s="197" t="s">
        <v>355</v>
      </c>
      <c r="J623" s="264"/>
      <c r="K623" s="148" t="s">
        <v>2</v>
      </c>
      <c r="L623" s="20"/>
      <c r="M623" s="322">
        <v>200000</v>
      </c>
    </row>
    <row r="624" spans="2:13" ht="19.5" customHeight="1" hidden="1">
      <c r="B624" s="34"/>
      <c r="C624" s="34"/>
      <c r="D624" s="226"/>
      <c r="E624" s="113"/>
      <c r="F624" s="114"/>
      <c r="G624" s="114"/>
      <c r="H624" s="385"/>
      <c r="I624" s="197" t="s">
        <v>356</v>
      </c>
      <c r="J624" s="264"/>
      <c r="K624" s="148" t="s">
        <v>46</v>
      </c>
      <c r="L624" s="20"/>
      <c r="M624" s="322">
        <v>250000</v>
      </c>
    </row>
    <row r="625" spans="2:13" ht="19.5" customHeight="1" hidden="1">
      <c r="B625" s="34"/>
      <c r="C625" s="34"/>
      <c r="D625" s="226"/>
      <c r="E625" s="113"/>
      <c r="F625" s="114"/>
      <c r="G625" s="114"/>
      <c r="H625" s="385"/>
      <c r="I625" s="197" t="s">
        <v>357</v>
      </c>
      <c r="J625" s="264"/>
      <c r="K625" s="148" t="s">
        <v>20</v>
      </c>
      <c r="L625" s="20"/>
      <c r="M625" s="322">
        <v>30000</v>
      </c>
    </row>
    <row r="626" spans="2:13" ht="19.5" customHeight="1" hidden="1">
      <c r="B626" s="34"/>
      <c r="C626" s="34"/>
      <c r="D626" s="226"/>
      <c r="E626" s="113"/>
      <c r="F626" s="114"/>
      <c r="G626" s="114"/>
      <c r="H626" s="385"/>
      <c r="I626" s="197" t="s">
        <v>358</v>
      </c>
      <c r="J626" s="264"/>
      <c r="K626" s="148" t="s">
        <v>380</v>
      </c>
      <c r="L626" s="20"/>
      <c r="M626" s="322">
        <v>100000</v>
      </c>
    </row>
    <row r="627" spans="2:13" ht="19.5" customHeight="1" hidden="1">
      <c r="B627" s="34"/>
      <c r="C627" s="34"/>
      <c r="D627" s="226"/>
      <c r="E627" s="113"/>
      <c r="F627" s="114"/>
      <c r="G627" s="114"/>
      <c r="H627" s="385"/>
      <c r="I627" s="197" t="s">
        <v>359</v>
      </c>
      <c r="J627" s="264"/>
      <c r="K627" s="148" t="s">
        <v>381</v>
      </c>
      <c r="L627" s="20"/>
      <c r="M627" s="322">
        <v>200000</v>
      </c>
    </row>
    <row r="628" spans="2:13" ht="19.5" customHeight="1" hidden="1">
      <c r="B628" s="34"/>
      <c r="C628" s="34"/>
      <c r="D628" s="226"/>
      <c r="E628" s="113"/>
      <c r="F628" s="114"/>
      <c r="G628" s="114"/>
      <c r="H628" s="385"/>
      <c r="I628" s="198" t="s">
        <v>134</v>
      </c>
      <c r="J628" s="266"/>
      <c r="K628" s="148"/>
      <c r="L628" s="20"/>
      <c r="M628" s="322"/>
    </row>
    <row r="629" spans="2:13" ht="19.5" customHeight="1" hidden="1">
      <c r="B629" s="34"/>
      <c r="C629" s="34"/>
      <c r="D629" s="226"/>
      <c r="E629" s="113"/>
      <c r="F629" s="114"/>
      <c r="G629" s="114"/>
      <c r="H629" s="385"/>
      <c r="I629" s="197" t="s">
        <v>360</v>
      </c>
      <c r="J629" s="264"/>
      <c r="K629" s="148" t="s">
        <v>80</v>
      </c>
      <c r="L629" s="20"/>
      <c r="M629" s="322">
        <v>300000</v>
      </c>
    </row>
    <row r="630" spans="2:13" ht="19.5" customHeight="1" hidden="1">
      <c r="B630" s="34"/>
      <c r="C630" s="34"/>
      <c r="D630" s="226"/>
      <c r="E630" s="113"/>
      <c r="F630" s="114"/>
      <c r="G630" s="114"/>
      <c r="H630" s="385"/>
      <c r="I630" s="197" t="s">
        <v>359</v>
      </c>
      <c r="J630" s="264"/>
      <c r="K630" s="148" t="s">
        <v>381</v>
      </c>
      <c r="L630" s="20"/>
      <c r="M630" s="322">
        <v>200000</v>
      </c>
    </row>
    <row r="631" spans="2:13" ht="19.5" customHeight="1" hidden="1">
      <c r="B631" s="34"/>
      <c r="C631" s="34"/>
      <c r="D631" s="226"/>
      <c r="E631" s="113"/>
      <c r="F631" s="114"/>
      <c r="G631" s="114"/>
      <c r="H631" s="385"/>
      <c r="I631" s="197" t="s">
        <v>361</v>
      </c>
      <c r="J631" s="264"/>
      <c r="K631" s="148" t="s">
        <v>47</v>
      </c>
      <c r="L631" s="20"/>
      <c r="M631" s="322">
        <v>300000</v>
      </c>
    </row>
    <row r="632" spans="2:13" ht="19.5" customHeight="1" hidden="1">
      <c r="B632" s="35"/>
      <c r="C632" s="35"/>
      <c r="D632" s="227"/>
      <c r="E632" s="115"/>
      <c r="F632" s="116"/>
      <c r="G632" s="116"/>
      <c r="H632" s="389"/>
      <c r="I632" s="199" t="s">
        <v>362</v>
      </c>
      <c r="J632" s="267"/>
      <c r="K632" s="151" t="s">
        <v>48</v>
      </c>
      <c r="L632" s="25"/>
      <c r="M632" s="323">
        <v>360000</v>
      </c>
    </row>
    <row r="633" ht="19.5" customHeight="1" hidden="1">
      <c r="L633" s="29"/>
    </row>
    <row r="634" ht="19.5" customHeight="1" hidden="1">
      <c r="L634" s="29"/>
    </row>
    <row r="635" ht="19.5" customHeight="1" hidden="1">
      <c r="L635" s="29"/>
    </row>
    <row r="636" ht="19.5" customHeight="1" hidden="1">
      <c r="L636" s="29"/>
    </row>
    <row r="637" ht="16.5" customHeight="1" hidden="1">
      <c r="L637" s="29"/>
    </row>
    <row r="638" ht="16.5" customHeight="1" hidden="1">
      <c r="L638" s="29"/>
    </row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spans="8:13" ht="13.5" hidden="1">
      <c r="H661" s="3"/>
      <c r="L661" s="26"/>
      <c r="M661" s="330"/>
    </row>
    <row r="662" spans="8:13" ht="13.5" hidden="1">
      <c r="H662" s="3"/>
      <c r="L662" s="26"/>
      <c r="M662" s="330"/>
    </row>
    <row r="663" spans="8:13" ht="13.5" hidden="1">
      <c r="H663" s="3"/>
      <c r="L663" s="26"/>
      <c r="M663" s="330"/>
    </row>
    <row r="664" spans="8:13" ht="13.5" hidden="1">
      <c r="H664" s="3"/>
      <c r="L664" s="26"/>
      <c r="M664" s="330"/>
    </row>
    <row r="665" spans="8:13" ht="13.5" hidden="1">
      <c r="H665" s="3"/>
      <c r="L665" s="26"/>
      <c r="M665" s="330"/>
    </row>
    <row r="666" spans="8:13" ht="13.5" hidden="1">
      <c r="H666" s="3"/>
      <c r="L666" s="26"/>
      <c r="M666" s="330"/>
    </row>
    <row r="667" spans="12:13" ht="13.5" hidden="1">
      <c r="L667" s="26"/>
      <c r="M667" s="330"/>
    </row>
    <row r="668" spans="12:13" ht="13.5" hidden="1">
      <c r="L668" s="26"/>
      <c r="M668" s="330"/>
    </row>
    <row r="669" spans="12:13" ht="13.5" hidden="1">
      <c r="L669" s="26"/>
      <c r="M669" s="330"/>
    </row>
    <row r="670" spans="12:13" ht="13.5" hidden="1">
      <c r="L670" s="26"/>
      <c r="M670" s="330"/>
    </row>
    <row r="671" spans="12:13" ht="13.5" hidden="1">
      <c r="L671" s="26"/>
      <c r="M671" s="330"/>
    </row>
    <row r="672" spans="12:13" ht="13.5" hidden="1">
      <c r="L672" s="26"/>
      <c r="M672" s="330"/>
    </row>
    <row r="673" spans="12:13" ht="13.5" hidden="1">
      <c r="L673" s="26"/>
      <c r="M673" s="330"/>
    </row>
    <row r="674" spans="12:13" ht="13.5" hidden="1">
      <c r="L674" s="26"/>
      <c r="M674" s="330"/>
    </row>
    <row r="675" spans="12:13" ht="13.5" hidden="1">
      <c r="L675" s="26"/>
      <c r="M675" s="330"/>
    </row>
    <row r="676" spans="12:13" ht="13.5" hidden="1">
      <c r="L676" s="26"/>
      <c r="M676" s="330"/>
    </row>
    <row r="677" spans="12:13" ht="13.5" hidden="1">
      <c r="L677" s="26"/>
      <c r="M677" s="330"/>
    </row>
    <row r="678" spans="12:13" ht="13.5" hidden="1">
      <c r="L678" s="26"/>
      <c r="M678" s="330"/>
    </row>
    <row r="679" spans="12:13" ht="13.5" hidden="1">
      <c r="L679" s="26"/>
      <c r="M679" s="330"/>
    </row>
    <row r="680" spans="12:13" ht="13.5" hidden="1">
      <c r="L680" s="26"/>
      <c r="M680" s="330"/>
    </row>
    <row r="681" spans="12:13" ht="13.5" hidden="1">
      <c r="L681" s="26"/>
      <c r="M681" s="330"/>
    </row>
    <row r="682" spans="12:13" ht="13.5" hidden="1">
      <c r="L682" s="26"/>
      <c r="M682" s="330"/>
    </row>
    <row r="683" spans="12:13" ht="13.5" hidden="1">
      <c r="L683" s="26"/>
      <c r="M683" s="330"/>
    </row>
    <row r="684" spans="12:13" ht="13.5" hidden="1">
      <c r="L684" s="26"/>
      <c r="M684" s="330"/>
    </row>
    <row r="685" spans="12:13" ht="13.5" hidden="1">
      <c r="L685" s="26"/>
      <c r="M685" s="330"/>
    </row>
    <row r="686" spans="12:13" ht="13.5" hidden="1">
      <c r="L686" s="26"/>
      <c r="M686" s="330"/>
    </row>
    <row r="687" spans="12:13" ht="13.5" hidden="1">
      <c r="L687" s="26"/>
      <c r="M687" s="330"/>
    </row>
    <row r="688" spans="12:13" ht="13.5" hidden="1">
      <c r="L688" s="26"/>
      <c r="M688" s="330"/>
    </row>
    <row r="689" spans="12:13" ht="13.5" hidden="1">
      <c r="L689" s="26"/>
      <c r="M689" s="330"/>
    </row>
    <row r="690" spans="12:13" ht="13.5" hidden="1">
      <c r="L690" s="26"/>
      <c r="M690" s="330"/>
    </row>
    <row r="691" spans="12:13" ht="13.5" hidden="1">
      <c r="L691" s="26"/>
      <c r="M691" s="330"/>
    </row>
    <row r="692" spans="12:13" ht="13.5" hidden="1">
      <c r="L692" s="26"/>
      <c r="M692" s="330"/>
    </row>
    <row r="693" spans="12:13" ht="13.5" hidden="1">
      <c r="L693" s="26"/>
      <c r="M693" s="330"/>
    </row>
    <row r="694" spans="12:13" ht="13.5" hidden="1">
      <c r="L694" s="26"/>
      <c r="M694" s="330"/>
    </row>
    <row r="695" spans="12:13" ht="13.5" hidden="1">
      <c r="L695" s="26"/>
      <c r="M695" s="330"/>
    </row>
    <row r="696" spans="12:13" ht="13.5" hidden="1">
      <c r="L696" s="26"/>
      <c r="M696" s="330"/>
    </row>
    <row r="697" spans="12:13" ht="13.5" hidden="1">
      <c r="L697" s="26"/>
      <c r="M697" s="330"/>
    </row>
    <row r="698" spans="12:13" ht="13.5" hidden="1">
      <c r="L698" s="26"/>
      <c r="M698" s="330"/>
    </row>
    <row r="699" spans="12:13" ht="13.5" hidden="1">
      <c r="L699" s="26"/>
      <c r="M699" s="330"/>
    </row>
    <row r="700" spans="12:13" ht="13.5" hidden="1">
      <c r="L700" s="26"/>
      <c r="M700" s="330"/>
    </row>
    <row r="701" spans="12:13" ht="13.5" hidden="1">
      <c r="L701" s="26"/>
      <c r="M701" s="330"/>
    </row>
    <row r="702" spans="12:13" ht="13.5" hidden="1">
      <c r="L702" s="26"/>
      <c r="M702" s="330"/>
    </row>
    <row r="703" spans="12:13" ht="13.5" hidden="1">
      <c r="L703" s="26"/>
      <c r="M703" s="330"/>
    </row>
    <row r="704" spans="12:13" ht="13.5" hidden="1">
      <c r="L704" s="26"/>
      <c r="M704" s="330"/>
    </row>
    <row r="705" spans="12:13" ht="13.5" hidden="1">
      <c r="L705" s="26"/>
      <c r="M705" s="330"/>
    </row>
    <row r="706" spans="12:13" ht="13.5" hidden="1">
      <c r="L706" s="26"/>
      <c r="M706" s="330"/>
    </row>
    <row r="707" spans="12:13" ht="13.5" hidden="1">
      <c r="L707" s="26"/>
      <c r="M707" s="330"/>
    </row>
    <row r="708" spans="12:13" ht="13.5" hidden="1">
      <c r="L708" s="26"/>
      <c r="M708" s="330"/>
    </row>
    <row r="709" spans="12:13" ht="13.5" hidden="1">
      <c r="L709" s="26"/>
      <c r="M709" s="330"/>
    </row>
    <row r="710" spans="12:13" ht="13.5" hidden="1">
      <c r="L710" s="26"/>
      <c r="M710" s="330"/>
    </row>
    <row r="711" spans="12:13" ht="13.5" hidden="1">
      <c r="L711" s="26"/>
      <c r="M711" s="330"/>
    </row>
    <row r="712" spans="12:13" ht="13.5" hidden="1">
      <c r="L712" s="26"/>
      <c r="M712" s="330"/>
    </row>
    <row r="713" spans="12:13" ht="13.5" hidden="1">
      <c r="L713" s="26"/>
      <c r="M713" s="330"/>
    </row>
    <row r="714" spans="12:13" ht="13.5" hidden="1">
      <c r="L714" s="26"/>
      <c r="M714" s="330"/>
    </row>
    <row r="715" spans="12:13" ht="13.5" hidden="1">
      <c r="L715" s="26"/>
      <c r="M715" s="330"/>
    </row>
    <row r="716" spans="12:13" ht="13.5" hidden="1">
      <c r="L716" s="26"/>
      <c r="M716" s="330"/>
    </row>
    <row r="717" spans="12:13" ht="13.5" hidden="1">
      <c r="L717" s="26"/>
      <c r="M717" s="330"/>
    </row>
    <row r="718" spans="12:13" ht="13.5" hidden="1">
      <c r="L718" s="26"/>
      <c r="M718" s="330"/>
    </row>
    <row r="719" spans="12:13" ht="13.5" hidden="1">
      <c r="L719" s="26"/>
      <c r="M719" s="330"/>
    </row>
    <row r="720" spans="12:13" ht="13.5" hidden="1">
      <c r="L720" s="26"/>
      <c r="M720" s="330"/>
    </row>
    <row r="721" spans="12:13" ht="13.5" hidden="1">
      <c r="L721" s="26"/>
      <c r="M721" s="330"/>
    </row>
    <row r="722" spans="12:13" ht="13.5" hidden="1">
      <c r="L722" s="26"/>
      <c r="M722" s="330"/>
    </row>
    <row r="723" spans="12:13" ht="13.5" hidden="1">
      <c r="L723" s="26"/>
      <c r="M723" s="330"/>
    </row>
    <row r="724" spans="12:13" ht="13.5" hidden="1">
      <c r="L724" s="26"/>
      <c r="M724" s="330"/>
    </row>
    <row r="725" spans="12:13" ht="13.5" hidden="1">
      <c r="L725" s="26"/>
      <c r="M725" s="330"/>
    </row>
    <row r="726" spans="12:13" ht="13.5" hidden="1">
      <c r="L726" s="26"/>
      <c r="M726" s="330"/>
    </row>
    <row r="727" spans="12:13" ht="13.5" hidden="1">
      <c r="L727" s="26"/>
      <c r="M727" s="330"/>
    </row>
    <row r="728" spans="12:13" ht="13.5">
      <c r="L728" s="26"/>
      <c r="M728" s="330"/>
    </row>
    <row r="729" spans="12:13" ht="13.5">
      <c r="L729" s="26"/>
      <c r="M729" s="330"/>
    </row>
    <row r="730" spans="12:13" ht="13.5">
      <c r="L730" s="26"/>
      <c r="M730" s="330"/>
    </row>
    <row r="731" spans="12:13" ht="13.5">
      <c r="L731" s="26"/>
      <c r="M731" s="330"/>
    </row>
    <row r="732" spans="12:13" ht="13.5">
      <c r="L732" s="26"/>
      <c r="M732" s="330"/>
    </row>
    <row r="733" spans="12:13" ht="13.5">
      <c r="L733" s="26"/>
      <c r="M733" s="330"/>
    </row>
    <row r="734" spans="12:13" ht="13.5">
      <c r="L734" s="26"/>
      <c r="M734" s="330"/>
    </row>
    <row r="735" spans="12:13" ht="13.5">
      <c r="L735" s="26"/>
      <c r="M735" s="330"/>
    </row>
    <row r="736" spans="12:13" ht="13.5">
      <c r="L736" s="26"/>
      <c r="M736" s="330"/>
    </row>
    <row r="737" spans="12:13" ht="13.5">
      <c r="L737" s="26"/>
      <c r="M737" s="330"/>
    </row>
    <row r="738" spans="12:13" ht="13.5">
      <c r="L738" s="26"/>
      <c r="M738" s="330"/>
    </row>
    <row r="739" spans="12:13" ht="13.5">
      <c r="L739" s="26"/>
      <c r="M739" s="330"/>
    </row>
    <row r="740" spans="12:13" ht="13.5">
      <c r="L740" s="26"/>
      <c r="M740" s="330"/>
    </row>
    <row r="741" spans="12:13" ht="13.5">
      <c r="L741" s="26"/>
      <c r="M741" s="330"/>
    </row>
    <row r="742" spans="12:13" ht="13.5">
      <c r="L742" s="26"/>
      <c r="M742" s="330"/>
    </row>
    <row r="743" spans="12:13" ht="13.5">
      <c r="L743" s="26"/>
      <c r="M743" s="330"/>
    </row>
    <row r="744" spans="12:13" ht="13.5">
      <c r="L744" s="26"/>
      <c r="M744" s="330"/>
    </row>
    <row r="745" spans="12:13" ht="13.5">
      <c r="L745" s="26"/>
      <c r="M745" s="330"/>
    </row>
    <row r="746" spans="12:13" ht="13.5">
      <c r="L746" s="26"/>
      <c r="M746" s="330"/>
    </row>
    <row r="747" spans="12:13" ht="13.5">
      <c r="L747" s="26"/>
      <c r="M747" s="330"/>
    </row>
    <row r="748" spans="12:13" ht="13.5">
      <c r="L748" s="26"/>
      <c r="M748" s="330"/>
    </row>
    <row r="749" spans="12:13" ht="13.5">
      <c r="L749" s="26"/>
      <c r="M749" s="330"/>
    </row>
    <row r="750" spans="12:13" ht="13.5">
      <c r="L750" s="26"/>
      <c r="M750" s="330"/>
    </row>
    <row r="751" spans="12:13" ht="13.5">
      <c r="L751" s="26"/>
      <c r="M751" s="330"/>
    </row>
    <row r="752" spans="12:13" ht="13.5">
      <c r="L752" s="26"/>
      <c r="M752" s="330"/>
    </row>
    <row r="753" spans="12:13" ht="13.5">
      <c r="L753" s="26"/>
      <c r="M753" s="330"/>
    </row>
    <row r="754" spans="12:13" ht="13.5">
      <c r="L754" s="26"/>
      <c r="M754" s="330"/>
    </row>
    <row r="755" spans="12:13" ht="13.5">
      <c r="L755" s="26"/>
      <c r="M755" s="330"/>
    </row>
    <row r="756" spans="12:13" ht="13.5">
      <c r="L756" s="26"/>
      <c r="M756" s="330"/>
    </row>
    <row r="757" spans="12:13" ht="13.5">
      <c r="L757" s="26"/>
      <c r="M757" s="330"/>
    </row>
    <row r="758" spans="12:13" ht="13.5">
      <c r="L758" s="26"/>
      <c r="M758" s="330"/>
    </row>
    <row r="759" spans="12:13" ht="13.5">
      <c r="L759" s="26"/>
      <c r="M759" s="330"/>
    </row>
    <row r="760" spans="12:13" ht="13.5">
      <c r="L760" s="26"/>
      <c r="M760" s="330"/>
    </row>
    <row r="761" spans="12:13" ht="13.5">
      <c r="L761" s="26"/>
      <c r="M761" s="330"/>
    </row>
    <row r="762" spans="12:13" ht="13.5">
      <c r="L762" s="26"/>
      <c r="M762" s="330"/>
    </row>
    <row r="763" spans="12:13" ht="13.5">
      <c r="L763" s="26"/>
      <c r="M763" s="330"/>
    </row>
    <row r="764" spans="12:13" ht="13.5">
      <c r="L764" s="26"/>
      <c r="M764" s="330"/>
    </row>
    <row r="765" spans="12:13" ht="13.5">
      <c r="L765" s="26"/>
      <c r="M765" s="330"/>
    </row>
    <row r="766" spans="12:13" ht="13.5">
      <c r="L766" s="26"/>
      <c r="M766" s="330"/>
    </row>
    <row r="767" spans="12:13" ht="13.5">
      <c r="L767" s="26"/>
      <c r="M767" s="330"/>
    </row>
    <row r="768" spans="12:13" ht="13.5">
      <c r="L768" s="26"/>
      <c r="M768" s="330"/>
    </row>
    <row r="769" spans="12:13" ht="13.5">
      <c r="L769" s="26"/>
      <c r="M769" s="330"/>
    </row>
    <row r="770" spans="12:13" ht="13.5">
      <c r="L770" s="26"/>
      <c r="M770" s="330"/>
    </row>
    <row r="771" spans="12:13" ht="13.5">
      <c r="L771" s="26"/>
      <c r="M771" s="330"/>
    </row>
    <row r="772" spans="12:13" ht="13.5">
      <c r="L772" s="26"/>
      <c r="M772" s="330"/>
    </row>
    <row r="773" spans="12:13" ht="13.5">
      <c r="L773" s="26"/>
      <c r="M773" s="330"/>
    </row>
    <row r="774" spans="12:13" ht="13.5">
      <c r="L774" s="26"/>
      <c r="M774" s="330"/>
    </row>
    <row r="775" spans="12:13" ht="13.5">
      <c r="L775" s="26"/>
      <c r="M775" s="330"/>
    </row>
    <row r="776" spans="12:13" ht="13.5">
      <c r="L776" s="26"/>
      <c r="M776" s="330"/>
    </row>
    <row r="777" spans="12:13" ht="13.5">
      <c r="L777" s="26"/>
      <c r="M777" s="330"/>
    </row>
    <row r="778" spans="12:13" ht="13.5">
      <c r="L778" s="26"/>
      <c r="M778" s="330"/>
    </row>
    <row r="779" spans="12:13" ht="13.5">
      <c r="L779" s="26"/>
      <c r="M779" s="330"/>
    </row>
    <row r="780" spans="12:13" ht="13.5">
      <c r="L780" s="26"/>
      <c r="M780" s="330"/>
    </row>
    <row r="781" spans="12:13" ht="13.5">
      <c r="L781" s="26"/>
      <c r="M781" s="330"/>
    </row>
    <row r="782" spans="12:13" ht="13.5">
      <c r="L782" s="26"/>
      <c r="M782" s="330"/>
    </row>
    <row r="783" spans="12:13" ht="13.5">
      <c r="L783" s="26"/>
      <c r="M783" s="330"/>
    </row>
    <row r="784" spans="12:13" ht="13.5">
      <c r="L784" s="26"/>
      <c r="M784" s="330"/>
    </row>
    <row r="785" spans="12:13" ht="13.5">
      <c r="L785" s="26"/>
      <c r="M785" s="330"/>
    </row>
    <row r="786" spans="12:13" ht="13.5">
      <c r="L786" s="26"/>
      <c r="M786" s="330"/>
    </row>
    <row r="787" spans="12:13" ht="13.5">
      <c r="L787" s="26"/>
      <c r="M787" s="330"/>
    </row>
    <row r="788" spans="12:13" ht="13.5">
      <c r="L788" s="26"/>
      <c r="M788" s="330"/>
    </row>
    <row r="789" spans="12:13" ht="13.5">
      <c r="L789" s="26"/>
      <c r="M789" s="330"/>
    </row>
    <row r="790" spans="12:13" ht="13.5">
      <c r="L790" s="26"/>
      <c r="M790" s="330"/>
    </row>
    <row r="791" spans="12:13" ht="13.5">
      <c r="L791" s="26"/>
      <c r="M791" s="330"/>
    </row>
    <row r="792" spans="12:13" ht="13.5">
      <c r="L792" s="26"/>
      <c r="M792" s="330"/>
    </row>
    <row r="793" spans="12:13" ht="13.5">
      <c r="L793" s="26"/>
      <c r="M793" s="330"/>
    </row>
    <row r="794" spans="12:13" ht="13.5">
      <c r="L794" s="26"/>
      <c r="M794" s="330"/>
    </row>
    <row r="795" spans="12:13" ht="13.5">
      <c r="L795" s="26"/>
      <c r="M795" s="330"/>
    </row>
    <row r="796" spans="12:13" ht="13.5">
      <c r="L796" s="26"/>
      <c r="M796" s="330"/>
    </row>
    <row r="797" spans="12:13" ht="13.5">
      <c r="L797" s="26"/>
      <c r="M797" s="330"/>
    </row>
    <row r="798" spans="12:13" ht="13.5">
      <c r="L798" s="26"/>
      <c r="M798" s="330"/>
    </row>
    <row r="799" spans="12:13" ht="13.5">
      <c r="L799" s="26"/>
      <c r="M799" s="330"/>
    </row>
    <row r="800" spans="12:13" ht="13.5">
      <c r="L800" s="26"/>
      <c r="M800" s="330"/>
    </row>
    <row r="801" spans="12:13" ht="13.5">
      <c r="L801" s="26"/>
      <c r="M801" s="330"/>
    </row>
    <row r="802" spans="12:13" ht="13.5">
      <c r="L802" s="26"/>
      <c r="M802" s="330"/>
    </row>
    <row r="803" spans="12:13" ht="13.5">
      <c r="L803" s="26"/>
      <c r="M803" s="330"/>
    </row>
    <row r="804" spans="12:13" ht="13.5">
      <c r="L804" s="26"/>
      <c r="M804" s="330"/>
    </row>
    <row r="805" spans="12:13" ht="13.5">
      <c r="L805" s="26"/>
      <c r="M805" s="330"/>
    </row>
    <row r="806" spans="12:13" ht="13.5">
      <c r="L806" s="26"/>
      <c r="M806" s="330"/>
    </row>
    <row r="807" spans="12:13" ht="13.5">
      <c r="L807" s="26"/>
      <c r="M807" s="330"/>
    </row>
    <row r="808" spans="12:13" ht="13.5">
      <c r="L808" s="26"/>
      <c r="M808" s="330"/>
    </row>
    <row r="809" spans="12:13" ht="13.5">
      <c r="L809" s="26"/>
      <c r="M809" s="330"/>
    </row>
    <row r="810" spans="12:13" ht="13.5">
      <c r="L810" s="26"/>
      <c r="M810" s="330"/>
    </row>
    <row r="811" spans="12:13" ht="13.5">
      <c r="L811" s="26"/>
      <c r="M811" s="330"/>
    </row>
    <row r="812" spans="12:13" ht="13.5">
      <c r="L812" s="26"/>
      <c r="M812" s="330"/>
    </row>
    <row r="813" spans="12:13" ht="13.5">
      <c r="L813" s="26"/>
      <c r="M813" s="330"/>
    </row>
    <row r="814" spans="12:13" ht="13.5">
      <c r="L814" s="26"/>
      <c r="M814" s="330"/>
    </row>
    <row r="815" spans="12:13" ht="13.5">
      <c r="L815" s="26"/>
      <c r="M815" s="330"/>
    </row>
    <row r="816" spans="12:13" ht="13.5">
      <c r="L816" s="26"/>
      <c r="M816" s="330"/>
    </row>
    <row r="817" spans="12:13" ht="13.5">
      <c r="L817" s="26"/>
      <c r="M817" s="330"/>
    </row>
    <row r="818" spans="12:13" ht="13.5">
      <c r="L818" s="26"/>
      <c r="M818" s="330"/>
    </row>
    <row r="819" spans="12:13" ht="13.5">
      <c r="L819" s="26"/>
      <c r="M819" s="330"/>
    </row>
    <row r="820" spans="12:13" ht="13.5">
      <c r="L820" s="26"/>
      <c r="M820" s="330"/>
    </row>
    <row r="821" ht="13.5">
      <c r="M821" s="331"/>
    </row>
    <row r="822" ht="13.5">
      <c r="M822" s="331"/>
    </row>
    <row r="823" ht="13.5">
      <c r="M823" s="331"/>
    </row>
    <row r="824" ht="13.5">
      <c r="M824" s="331"/>
    </row>
    <row r="825" ht="13.5">
      <c r="M825" s="331"/>
    </row>
    <row r="826" ht="13.5">
      <c r="M826" s="331"/>
    </row>
    <row r="827" ht="13.5">
      <c r="M827" s="331"/>
    </row>
    <row r="828" ht="13.5">
      <c r="M828" s="331"/>
    </row>
    <row r="829" ht="13.5">
      <c r="M829" s="331"/>
    </row>
    <row r="830" ht="13.5">
      <c r="M830" s="331"/>
    </row>
    <row r="831" ht="13.5">
      <c r="M831" s="331"/>
    </row>
    <row r="832" ht="13.5">
      <c r="M832" s="331"/>
    </row>
    <row r="833" ht="13.5">
      <c r="M833" s="331"/>
    </row>
    <row r="834" ht="13.5">
      <c r="M834" s="331"/>
    </row>
    <row r="835" ht="13.5">
      <c r="M835" s="331"/>
    </row>
    <row r="836" ht="13.5">
      <c r="M836" s="331"/>
    </row>
    <row r="837" ht="13.5">
      <c r="M837" s="331"/>
    </row>
    <row r="838" ht="13.5">
      <c r="M838" s="331"/>
    </row>
    <row r="839" ht="13.5">
      <c r="M839" s="331"/>
    </row>
    <row r="840" ht="13.5">
      <c r="M840" s="331"/>
    </row>
    <row r="841" ht="13.5">
      <c r="M841" s="331"/>
    </row>
    <row r="842" ht="13.5">
      <c r="M842" s="331"/>
    </row>
    <row r="843" ht="13.5">
      <c r="M843" s="331"/>
    </row>
    <row r="844" ht="13.5">
      <c r="M844" s="331"/>
    </row>
    <row r="845" ht="13.5">
      <c r="M845" s="331"/>
    </row>
    <row r="846" ht="13.5">
      <c r="M846" s="331"/>
    </row>
    <row r="847" ht="13.5">
      <c r="M847" s="331"/>
    </row>
    <row r="848" ht="13.5">
      <c r="M848" s="331"/>
    </row>
    <row r="849" ht="13.5">
      <c r="M849" s="331"/>
    </row>
    <row r="850" ht="13.5">
      <c r="M850" s="331"/>
    </row>
    <row r="851" ht="13.5">
      <c r="M851" s="331"/>
    </row>
    <row r="852" ht="13.5">
      <c r="M852" s="331"/>
    </row>
    <row r="853" ht="13.5">
      <c r="M853" s="331"/>
    </row>
    <row r="854" ht="13.5">
      <c r="M854" s="331"/>
    </row>
    <row r="855" ht="13.5">
      <c r="M855" s="331"/>
    </row>
    <row r="856" ht="13.5">
      <c r="M856" s="331"/>
    </row>
    <row r="857" ht="13.5">
      <c r="M857" s="331"/>
    </row>
    <row r="858" ht="13.5">
      <c r="M858" s="331"/>
    </row>
    <row r="859" ht="13.5">
      <c r="M859" s="331"/>
    </row>
    <row r="860" ht="13.5">
      <c r="M860" s="331"/>
    </row>
    <row r="861" ht="13.5">
      <c r="M861" s="331"/>
    </row>
    <row r="862" ht="13.5">
      <c r="M862" s="331"/>
    </row>
    <row r="863" ht="13.5">
      <c r="M863" s="331"/>
    </row>
    <row r="864" ht="13.5">
      <c r="M864" s="331"/>
    </row>
    <row r="865" ht="13.5">
      <c r="M865" s="331"/>
    </row>
    <row r="866" ht="13.5">
      <c r="M866" s="331"/>
    </row>
    <row r="867" ht="13.5">
      <c r="M867" s="331"/>
    </row>
    <row r="868" ht="13.5">
      <c r="M868" s="331"/>
    </row>
    <row r="869" ht="13.5">
      <c r="M869" s="331"/>
    </row>
    <row r="870" ht="13.5">
      <c r="M870" s="331"/>
    </row>
    <row r="871" ht="13.5">
      <c r="M871" s="331"/>
    </row>
    <row r="872" ht="13.5">
      <c r="M872" s="331"/>
    </row>
    <row r="873" ht="13.5">
      <c r="M873" s="331"/>
    </row>
    <row r="874" ht="13.5">
      <c r="M874" s="331"/>
    </row>
    <row r="875" ht="13.5">
      <c r="M875" s="331"/>
    </row>
    <row r="876" ht="13.5">
      <c r="M876" s="331"/>
    </row>
    <row r="877" ht="13.5">
      <c r="M877" s="331"/>
    </row>
    <row r="878" ht="13.5">
      <c r="M878" s="331"/>
    </row>
    <row r="879" ht="13.5">
      <c r="M879" s="331"/>
    </row>
    <row r="880" ht="13.5">
      <c r="M880" s="331"/>
    </row>
    <row r="881" ht="13.5">
      <c r="M881" s="331"/>
    </row>
    <row r="882" ht="13.5">
      <c r="M882" s="331"/>
    </row>
  </sheetData>
  <mergeCells count="40">
    <mergeCell ref="G612:H612"/>
    <mergeCell ref="E612:F612"/>
    <mergeCell ref="E585:F585"/>
    <mergeCell ref="G477:H477"/>
    <mergeCell ref="G585:H585"/>
    <mergeCell ref="G558:H558"/>
    <mergeCell ref="G504:H504"/>
    <mergeCell ref="G531:H531"/>
    <mergeCell ref="E558:F558"/>
    <mergeCell ref="E531:F531"/>
    <mergeCell ref="B251:D251"/>
    <mergeCell ref="B263:D263"/>
    <mergeCell ref="B417:D417"/>
    <mergeCell ref="B421:D421"/>
    <mergeCell ref="C418:D418"/>
    <mergeCell ref="C252:D252"/>
    <mergeCell ref="C264:D264"/>
    <mergeCell ref="C268:D268"/>
    <mergeCell ref="E504:F504"/>
    <mergeCell ref="E477:F477"/>
    <mergeCell ref="C422:D422"/>
    <mergeCell ref="C426:D426"/>
    <mergeCell ref="C432:D432"/>
    <mergeCell ref="C436:D436"/>
    <mergeCell ref="B425:D425"/>
    <mergeCell ref="B431:D431"/>
    <mergeCell ref="B435:D435"/>
    <mergeCell ref="B7:D7"/>
    <mergeCell ref="C8:D8"/>
    <mergeCell ref="C184:D184"/>
    <mergeCell ref="C199:D199"/>
    <mergeCell ref="B6:D6"/>
    <mergeCell ref="I4:M5"/>
    <mergeCell ref="G4:H4"/>
    <mergeCell ref="E4:E5"/>
    <mergeCell ref="F4:F5"/>
    <mergeCell ref="S3:T3"/>
    <mergeCell ref="N4:T4"/>
    <mergeCell ref="B4:D4"/>
    <mergeCell ref="A2:T2"/>
  </mergeCells>
  <printOptions horizontalCentered="1"/>
  <pageMargins left="0.1968503937007874" right="0.1968503937007874" top="0.6692913385826772" bottom="0.6692913385826772" header="0" footer="0"/>
  <pageSetup firstPageNumber="85" useFirstPageNumber="1" horizontalDpi="300" verticalDpi="300" orientation="landscape" paperSize="9" r:id="rId1"/>
  <ignoredErrors>
    <ignoredError sqref="N6:N8 N74 M323 M238 M285 M280 M308 M319 M321 P177 R6" formula="1"/>
    <ignoredError sqref="V36:V45 O74:P74 O147:P147 O152:P152 O157:P157 P162 V75:V76 V79 V85:V102 V71:V72 V65:V68 V59:V63 V370:V374 V362:V368 V359:V360 V356:V3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B1">
      <selection activeCell="B1" sqref="A1:T56"/>
    </sheetView>
  </sheetViews>
  <sheetFormatPr defaultColWidth="8.88671875" defaultRowHeight="13.5"/>
  <cols>
    <col min="1" max="1" width="8.88671875" style="0" hidden="1" customWidth="1"/>
    <col min="2" max="2" width="3.3359375" style="0" customWidth="1"/>
    <col min="3" max="3" width="3.5546875" style="0" customWidth="1"/>
    <col min="4" max="4" width="8.77734375" style="0" customWidth="1"/>
    <col min="5" max="5" width="8.4453125" style="0" customWidth="1"/>
    <col min="6" max="6" width="7.3359375" style="0" customWidth="1"/>
    <col min="7" max="7" width="7.10546875" style="0" customWidth="1"/>
    <col min="8" max="8" width="5.6640625" style="0" customWidth="1"/>
    <col min="9" max="9" width="9.6640625" style="0" customWidth="1"/>
    <col min="10" max="10" width="7.5546875" style="262" customWidth="1"/>
    <col min="11" max="11" width="8.21484375" style="0" customWidth="1"/>
    <col min="12" max="12" width="2.10546875" style="0" customWidth="1"/>
    <col min="13" max="13" width="9.4453125" style="0" customWidth="1"/>
    <col min="14" max="14" width="5.77734375" style="0" customWidth="1"/>
    <col min="15" max="15" width="6.6640625" style="0" customWidth="1"/>
    <col min="16" max="16" width="5.4453125" style="0" customWidth="1"/>
    <col min="17" max="17" width="4.77734375" style="0" customWidth="1"/>
    <col min="18" max="18" width="5.10546875" style="0" customWidth="1"/>
    <col min="19" max="19" width="6.88671875" style="0" customWidth="1"/>
    <col min="20" max="20" width="5.4453125" style="0" customWidth="1"/>
    <col min="21" max="21" width="1.77734375" style="0" customWidth="1"/>
  </cols>
  <sheetData>
    <row r="1" spans="21:22" ht="13.5">
      <c r="U1" s="2"/>
      <c r="V1" s="26"/>
    </row>
    <row r="2" spans="1:22" ht="57" customHeight="1">
      <c r="A2" s="690" t="s">
        <v>933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1"/>
      <c r="O2" s="691"/>
      <c r="P2" s="691"/>
      <c r="Q2" s="691"/>
      <c r="R2" s="691"/>
      <c r="S2" s="691"/>
      <c r="T2" s="691"/>
      <c r="U2" s="2"/>
      <c r="V2" s="26"/>
    </row>
    <row r="3" spans="1:22" ht="23.25" customHeight="1">
      <c r="A3" s="1"/>
      <c r="B3" s="40"/>
      <c r="C3" s="40"/>
      <c r="D3" s="206"/>
      <c r="E3" s="94"/>
      <c r="F3" s="3"/>
      <c r="G3" s="3"/>
      <c r="H3" s="64"/>
      <c r="I3" s="154"/>
      <c r="J3" s="288"/>
      <c r="K3" s="154"/>
      <c r="L3" s="675"/>
      <c r="M3" s="675"/>
      <c r="N3" s="393"/>
      <c r="O3" s="393"/>
      <c r="P3" s="393"/>
      <c r="Q3" s="393"/>
      <c r="R3" s="393"/>
      <c r="S3" s="675" t="s">
        <v>890</v>
      </c>
      <c r="T3" s="675"/>
      <c r="U3" s="2"/>
      <c r="V3" s="26"/>
    </row>
    <row r="4" spans="1:22" ht="27" customHeight="1">
      <c r="A4" s="1"/>
      <c r="B4" s="692" t="s">
        <v>367</v>
      </c>
      <c r="C4" s="693"/>
      <c r="D4" s="693"/>
      <c r="E4" s="700" t="s">
        <v>414</v>
      </c>
      <c r="F4" s="702" t="s">
        <v>374</v>
      </c>
      <c r="G4" s="676" t="s">
        <v>368</v>
      </c>
      <c r="H4" s="699"/>
      <c r="I4" s="697" t="s">
        <v>369</v>
      </c>
      <c r="J4" s="697"/>
      <c r="K4" s="697"/>
      <c r="L4" s="697"/>
      <c r="M4" s="697"/>
      <c r="N4" s="676" t="s">
        <v>891</v>
      </c>
      <c r="O4" s="676"/>
      <c r="P4" s="676"/>
      <c r="Q4" s="676"/>
      <c r="R4" s="676"/>
      <c r="S4" s="676"/>
      <c r="T4" s="677"/>
      <c r="U4" s="2"/>
      <c r="V4" s="26"/>
    </row>
    <row r="5" spans="1:22" ht="27" customHeight="1" thickBot="1">
      <c r="A5" s="1"/>
      <c r="B5" s="505" t="s">
        <v>370</v>
      </c>
      <c r="C5" s="506" t="s">
        <v>371</v>
      </c>
      <c r="D5" s="506" t="s">
        <v>76</v>
      </c>
      <c r="E5" s="701"/>
      <c r="F5" s="703"/>
      <c r="G5" s="357" t="s">
        <v>372</v>
      </c>
      <c r="H5" s="357" t="s">
        <v>73</v>
      </c>
      <c r="I5" s="698"/>
      <c r="J5" s="698"/>
      <c r="K5" s="698"/>
      <c r="L5" s="698"/>
      <c r="M5" s="698"/>
      <c r="N5" s="507" t="s">
        <v>931</v>
      </c>
      <c r="O5" s="507" t="s">
        <v>892</v>
      </c>
      <c r="P5" s="507" t="s">
        <v>893</v>
      </c>
      <c r="Q5" s="507" t="s">
        <v>894</v>
      </c>
      <c r="R5" s="507" t="s">
        <v>895</v>
      </c>
      <c r="S5" s="507" t="s">
        <v>896</v>
      </c>
      <c r="T5" s="508" t="s">
        <v>897</v>
      </c>
      <c r="U5" s="2"/>
      <c r="V5" s="394" t="s">
        <v>898</v>
      </c>
    </row>
    <row r="6" spans="1:22" ht="27" customHeight="1" thickBot="1" thickTop="1">
      <c r="A6" s="1"/>
      <c r="B6" s="694" t="s">
        <v>231</v>
      </c>
      <c r="C6" s="695"/>
      <c r="D6" s="696"/>
      <c r="E6" s="298">
        <f>SUM(E7,E11,E15,E19,E34,E38,E42,E48)</f>
        <v>72169</v>
      </c>
      <c r="F6" s="298">
        <f>SUM(F7,F11,F15,F19,F34,F38,F42,F48)</f>
        <v>66750</v>
      </c>
      <c r="G6" s="96">
        <f>E6-F6</f>
        <v>5419</v>
      </c>
      <c r="H6" s="65">
        <f>G6/F6</f>
        <v>0.08118352059925094</v>
      </c>
      <c r="I6" s="299"/>
      <c r="J6" s="300"/>
      <c r="K6" s="301"/>
      <c r="L6" s="302"/>
      <c r="M6" s="654">
        <f aca="true" t="shared" si="0" ref="M6:T6">SUM(M7,M11,M15,M19,M34,M38,M42,M48)</f>
        <v>72169</v>
      </c>
      <c r="N6" s="598">
        <f t="shared" si="0"/>
        <v>21218</v>
      </c>
      <c r="O6" s="298">
        <f t="shared" si="0"/>
        <v>23017</v>
      </c>
      <c r="P6" s="298">
        <f t="shared" si="0"/>
        <v>1800</v>
      </c>
      <c r="Q6" s="298">
        <f t="shared" si="0"/>
        <v>0</v>
      </c>
      <c r="R6" s="298">
        <f t="shared" si="0"/>
        <v>0</v>
      </c>
      <c r="S6" s="298">
        <f t="shared" si="0"/>
        <v>24840</v>
      </c>
      <c r="T6" s="595">
        <f t="shared" si="0"/>
        <v>1294</v>
      </c>
      <c r="U6" s="2"/>
      <c r="V6" s="396">
        <f>SUM(N6:T6)</f>
        <v>72169</v>
      </c>
    </row>
    <row r="7" spans="1:22" ht="27" customHeight="1" thickTop="1">
      <c r="A7" s="2"/>
      <c r="B7" s="685" t="s">
        <v>641</v>
      </c>
      <c r="C7" s="686"/>
      <c r="D7" s="687"/>
      <c r="E7" s="97">
        <f>E8</f>
        <v>24840</v>
      </c>
      <c r="F7" s="97">
        <f>F8</f>
        <v>21600</v>
      </c>
      <c r="G7" s="98">
        <f>E7-F7</f>
        <v>3240</v>
      </c>
      <c r="H7" s="66">
        <f>G7/F7</f>
        <v>0.15</v>
      </c>
      <c r="I7" s="156"/>
      <c r="J7" s="289"/>
      <c r="K7" s="281"/>
      <c r="L7" s="59"/>
      <c r="M7" s="440">
        <f>M8</f>
        <v>24840</v>
      </c>
      <c r="N7" s="599">
        <v>0</v>
      </c>
      <c r="O7" s="397">
        <v>0</v>
      </c>
      <c r="P7" s="397">
        <v>0</v>
      </c>
      <c r="Q7" s="397">
        <v>0</v>
      </c>
      <c r="R7" s="397">
        <v>0</v>
      </c>
      <c r="S7" s="397">
        <f>S8</f>
        <v>24840</v>
      </c>
      <c r="T7" s="548">
        <v>0</v>
      </c>
      <c r="U7" s="2"/>
      <c r="V7" s="396">
        <f aca="true" t="shared" si="1" ref="V7:V55">SUM(N7:T7)</f>
        <v>24840</v>
      </c>
    </row>
    <row r="8" spans="1:22" ht="27" customHeight="1">
      <c r="A8" s="2"/>
      <c r="B8" s="47"/>
      <c r="C8" s="688" t="s">
        <v>642</v>
      </c>
      <c r="D8" s="689"/>
      <c r="E8" s="99">
        <f>SUM(E9)</f>
        <v>24840</v>
      </c>
      <c r="F8" s="99">
        <f>SUM(F9)</f>
        <v>21600</v>
      </c>
      <c r="G8" s="99">
        <f>E8-F8</f>
        <v>3240</v>
      </c>
      <c r="H8" s="310">
        <f>G8/F8</f>
        <v>0.15</v>
      </c>
      <c r="I8" s="157"/>
      <c r="J8" s="290"/>
      <c r="K8" s="282"/>
      <c r="L8" s="62"/>
      <c r="M8" s="441">
        <f>M10</f>
        <v>24840</v>
      </c>
      <c r="N8" s="398">
        <v>0</v>
      </c>
      <c r="O8" s="399">
        <v>0</v>
      </c>
      <c r="P8" s="399">
        <v>0</v>
      </c>
      <c r="Q8" s="399">
        <v>0</v>
      </c>
      <c r="R8" s="399">
        <v>0</v>
      </c>
      <c r="S8" s="399">
        <f>S10</f>
        <v>24840</v>
      </c>
      <c r="T8" s="400">
        <v>0</v>
      </c>
      <c r="U8" s="2"/>
      <c r="V8" s="396">
        <f>SUM(N8:T8)</f>
        <v>24840</v>
      </c>
    </row>
    <row r="9" spans="1:22" ht="27" customHeight="1">
      <c r="A9" s="2"/>
      <c r="B9" s="47"/>
      <c r="C9" s="51"/>
      <c r="D9" s="234" t="s">
        <v>172</v>
      </c>
      <c r="E9" s="101">
        <f>M10</f>
        <v>24840</v>
      </c>
      <c r="F9" s="102">
        <v>21600</v>
      </c>
      <c r="G9" s="102">
        <f>E9-F9</f>
        <v>3240</v>
      </c>
      <c r="H9" s="68">
        <f>G9/F9</f>
        <v>0.15</v>
      </c>
      <c r="I9" s="158"/>
      <c r="J9" s="291"/>
      <c r="K9" s="283"/>
      <c r="L9" s="55"/>
      <c r="M9" s="442"/>
      <c r="N9" s="401"/>
      <c r="O9" s="402"/>
      <c r="P9" s="402"/>
      <c r="Q9" s="402"/>
      <c r="R9" s="402"/>
      <c r="S9" s="402"/>
      <c r="T9" s="403"/>
      <c r="U9" s="2"/>
      <c r="V9" s="396">
        <f t="shared" si="1"/>
        <v>0</v>
      </c>
    </row>
    <row r="10" spans="1:22" ht="27" customHeight="1">
      <c r="A10" s="2"/>
      <c r="B10" s="47"/>
      <c r="C10" s="52"/>
      <c r="D10" s="450" t="s">
        <v>643</v>
      </c>
      <c r="E10" s="109"/>
      <c r="F10" s="110"/>
      <c r="G10" s="110"/>
      <c r="H10" s="72"/>
      <c r="I10" s="355" t="s">
        <v>644</v>
      </c>
      <c r="J10" s="352">
        <v>230000</v>
      </c>
      <c r="K10" s="356" t="s">
        <v>645</v>
      </c>
      <c r="L10" s="308" t="s">
        <v>239</v>
      </c>
      <c r="M10" s="448">
        <f>J10*9*12/1000</f>
        <v>24840</v>
      </c>
      <c r="N10" s="600"/>
      <c r="O10" s="491"/>
      <c r="P10" s="473"/>
      <c r="Q10" s="473"/>
      <c r="R10" s="473"/>
      <c r="S10" s="473">
        <v>24840</v>
      </c>
      <c r="T10" s="601"/>
      <c r="U10" s="2"/>
      <c r="V10" s="396">
        <f t="shared" si="1"/>
        <v>24840</v>
      </c>
    </row>
    <row r="11" spans="1:22" ht="27" customHeight="1">
      <c r="A11" s="2"/>
      <c r="B11" s="685" t="s">
        <v>237</v>
      </c>
      <c r="C11" s="686"/>
      <c r="D11" s="687"/>
      <c r="E11" s="97">
        <v>0</v>
      </c>
      <c r="F11" s="97">
        <v>0</v>
      </c>
      <c r="G11" s="98">
        <f>E11-F11</f>
        <v>0</v>
      </c>
      <c r="H11" s="66">
        <v>0</v>
      </c>
      <c r="I11" s="156"/>
      <c r="J11" s="289"/>
      <c r="K11" s="281"/>
      <c r="L11" s="59"/>
      <c r="M11" s="440"/>
      <c r="N11" s="602"/>
      <c r="O11" s="437"/>
      <c r="P11" s="437"/>
      <c r="Q11" s="437"/>
      <c r="R11" s="437"/>
      <c r="S11" s="437"/>
      <c r="T11" s="466"/>
      <c r="U11" s="2"/>
      <c r="V11" s="396">
        <f t="shared" si="1"/>
        <v>0</v>
      </c>
    </row>
    <row r="12" spans="1:22" ht="27" customHeight="1">
      <c r="A12" s="2"/>
      <c r="B12" s="47"/>
      <c r="C12" s="688" t="s">
        <v>238</v>
      </c>
      <c r="D12" s="689"/>
      <c r="E12" s="99">
        <f>SUM(E14)</f>
        <v>0</v>
      </c>
      <c r="F12" s="99">
        <f>SUM(F14)</f>
        <v>0</v>
      </c>
      <c r="G12" s="99">
        <f>SUM(G14)</f>
        <v>0</v>
      </c>
      <c r="H12" s="99">
        <f>SUM(H14)</f>
        <v>0</v>
      </c>
      <c r="I12" s="157"/>
      <c r="J12" s="290"/>
      <c r="K12" s="282"/>
      <c r="L12" s="62"/>
      <c r="M12" s="441"/>
      <c r="N12" s="398"/>
      <c r="O12" s="399"/>
      <c r="P12" s="399"/>
      <c r="Q12" s="399"/>
      <c r="R12" s="399"/>
      <c r="S12" s="399"/>
      <c r="T12" s="400"/>
      <c r="U12" s="2"/>
      <c r="V12" s="396">
        <f t="shared" si="1"/>
        <v>0</v>
      </c>
    </row>
    <row r="13" spans="1:22" ht="27" customHeight="1">
      <c r="A13" s="2"/>
      <c r="B13" s="47"/>
      <c r="C13" s="51"/>
      <c r="D13" s="234" t="s">
        <v>204</v>
      </c>
      <c r="E13" s="103"/>
      <c r="F13" s="104"/>
      <c r="G13" s="104"/>
      <c r="H13" s="69"/>
      <c r="I13" s="159"/>
      <c r="J13" s="292"/>
      <c r="K13" s="284"/>
      <c r="L13" s="54"/>
      <c r="M13" s="443"/>
      <c r="N13" s="411"/>
      <c r="O13" s="409"/>
      <c r="P13" s="412"/>
      <c r="Q13" s="412"/>
      <c r="R13" s="412"/>
      <c r="S13" s="412"/>
      <c r="T13" s="413"/>
      <c r="U13" s="2"/>
      <c r="V13" s="396">
        <f t="shared" si="1"/>
        <v>0</v>
      </c>
    </row>
    <row r="14" spans="1:22" ht="27" customHeight="1">
      <c r="A14" s="2"/>
      <c r="B14" s="47"/>
      <c r="C14" s="51"/>
      <c r="D14" s="207" t="s">
        <v>646</v>
      </c>
      <c r="E14" s="103"/>
      <c r="F14" s="104"/>
      <c r="G14" s="104"/>
      <c r="H14" s="69"/>
      <c r="I14" s="160"/>
      <c r="J14" s="293"/>
      <c r="K14" s="285"/>
      <c r="L14" s="49"/>
      <c r="M14" s="444"/>
      <c r="N14" s="431"/>
      <c r="O14" s="432"/>
      <c r="P14" s="432"/>
      <c r="Q14" s="432"/>
      <c r="R14" s="432"/>
      <c r="S14" s="432"/>
      <c r="T14" s="433"/>
      <c r="U14" s="2"/>
      <c r="V14" s="396">
        <f t="shared" si="1"/>
        <v>0</v>
      </c>
    </row>
    <row r="15" spans="1:22" ht="27" customHeight="1">
      <c r="A15" s="2"/>
      <c r="B15" s="682" t="s">
        <v>240</v>
      </c>
      <c r="C15" s="683"/>
      <c r="D15" s="684"/>
      <c r="E15" s="107">
        <v>0</v>
      </c>
      <c r="F15" s="107">
        <v>0</v>
      </c>
      <c r="G15" s="108">
        <v>0</v>
      </c>
      <c r="H15" s="71">
        <v>0</v>
      </c>
      <c r="I15" s="162"/>
      <c r="J15" s="294"/>
      <c r="K15" s="286"/>
      <c r="L15" s="58"/>
      <c r="M15" s="445"/>
      <c r="N15" s="602"/>
      <c r="O15" s="437"/>
      <c r="P15" s="437"/>
      <c r="Q15" s="437"/>
      <c r="R15" s="437"/>
      <c r="S15" s="437"/>
      <c r="T15" s="466"/>
      <c r="U15" s="2"/>
      <c r="V15" s="396">
        <f t="shared" si="1"/>
        <v>0</v>
      </c>
    </row>
    <row r="16" spans="1:22" ht="27" customHeight="1">
      <c r="A16" s="2"/>
      <c r="B16" s="47"/>
      <c r="C16" s="688" t="s">
        <v>241</v>
      </c>
      <c r="D16" s="689"/>
      <c r="E16" s="99">
        <v>0</v>
      </c>
      <c r="F16" s="99">
        <v>0</v>
      </c>
      <c r="G16" s="100">
        <v>0</v>
      </c>
      <c r="H16" s="67">
        <v>0</v>
      </c>
      <c r="I16" s="157"/>
      <c r="J16" s="290"/>
      <c r="K16" s="282"/>
      <c r="L16" s="62"/>
      <c r="M16" s="441"/>
      <c r="N16" s="398"/>
      <c r="O16" s="399"/>
      <c r="P16" s="399"/>
      <c r="Q16" s="399"/>
      <c r="R16" s="399"/>
      <c r="S16" s="399"/>
      <c r="T16" s="400"/>
      <c r="U16" s="2"/>
      <c r="V16" s="396">
        <f t="shared" si="1"/>
        <v>0</v>
      </c>
    </row>
    <row r="17" spans="1:22" ht="27" customHeight="1">
      <c r="A17" s="2"/>
      <c r="B17" s="47"/>
      <c r="C17" s="51"/>
      <c r="D17" s="235" t="s">
        <v>71</v>
      </c>
      <c r="E17" s="103"/>
      <c r="F17" s="104"/>
      <c r="G17" s="104"/>
      <c r="H17" s="69"/>
      <c r="I17" s="163"/>
      <c r="J17" s="295"/>
      <c r="K17" s="287"/>
      <c r="L17" s="61"/>
      <c r="M17" s="446"/>
      <c r="N17" s="411"/>
      <c r="O17" s="419"/>
      <c r="P17" s="412"/>
      <c r="Q17" s="412"/>
      <c r="R17" s="412"/>
      <c r="S17" s="412"/>
      <c r="T17" s="413"/>
      <c r="U17" s="2"/>
      <c r="V17" s="396">
        <f t="shared" si="1"/>
        <v>0</v>
      </c>
    </row>
    <row r="18" spans="1:22" ht="27" customHeight="1">
      <c r="A18" s="2"/>
      <c r="B18" s="449"/>
      <c r="C18" s="52"/>
      <c r="D18" s="450" t="s">
        <v>53</v>
      </c>
      <c r="E18" s="109"/>
      <c r="F18" s="110"/>
      <c r="G18" s="110"/>
      <c r="H18" s="72"/>
      <c r="I18" s="355"/>
      <c r="J18" s="352"/>
      <c r="K18" s="356"/>
      <c r="L18" s="308"/>
      <c r="M18" s="448"/>
      <c r="N18" s="600"/>
      <c r="O18" s="473"/>
      <c r="P18" s="473"/>
      <c r="Q18" s="473"/>
      <c r="R18" s="473"/>
      <c r="S18" s="473"/>
      <c r="T18" s="601"/>
      <c r="U18" s="2"/>
      <c r="V18" s="396">
        <f t="shared" si="1"/>
        <v>0</v>
      </c>
    </row>
    <row r="19" spans="1:22" ht="27" customHeight="1">
      <c r="A19" s="2"/>
      <c r="B19" s="682" t="s">
        <v>242</v>
      </c>
      <c r="C19" s="683"/>
      <c r="D19" s="684"/>
      <c r="E19" s="107">
        <f>SUM(E20,E25,E28,E31)</f>
        <v>46035</v>
      </c>
      <c r="F19" s="107">
        <f>SUM(F20,F25,F28,F31)</f>
        <v>44000</v>
      </c>
      <c r="G19" s="107">
        <f>E19-F19</f>
        <v>2035</v>
      </c>
      <c r="H19" s="71">
        <f>G19/F19</f>
        <v>0.04625</v>
      </c>
      <c r="I19" s="162"/>
      <c r="J19" s="294"/>
      <c r="K19" s="286"/>
      <c r="L19" s="58"/>
      <c r="M19" s="596">
        <f>SUM(M20,M25,M28,M31)</f>
        <v>46035</v>
      </c>
      <c r="N19" s="603">
        <f>SUM(N20,N25,N28,N31)</f>
        <v>21218</v>
      </c>
      <c r="O19" s="107">
        <f>SUM(O20,O25,O28,O31)</f>
        <v>23017</v>
      </c>
      <c r="P19" s="107">
        <f>SUM(P20,P25,P28,P31)</f>
        <v>1800</v>
      </c>
      <c r="Q19" s="428">
        <v>0</v>
      </c>
      <c r="R19" s="428">
        <v>0</v>
      </c>
      <c r="S19" s="428">
        <v>0</v>
      </c>
      <c r="T19" s="429">
        <v>0</v>
      </c>
      <c r="U19" s="2"/>
      <c r="V19" s="396">
        <f t="shared" si="1"/>
        <v>46035</v>
      </c>
    </row>
    <row r="20" spans="1:22" ht="27" customHeight="1">
      <c r="A20" s="2"/>
      <c r="B20" s="47"/>
      <c r="C20" s="688" t="s">
        <v>243</v>
      </c>
      <c r="D20" s="689"/>
      <c r="E20" s="99">
        <f>SUM(E21,E23)</f>
        <v>46035</v>
      </c>
      <c r="F20" s="99">
        <f>SUM(F21,F23)</f>
        <v>44000</v>
      </c>
      <c r="G20" s="312">
        <f>E20-F20</f>
        <v>2035</v>
      </c>
      <c r="H20" s="67">
        <f>G20/F20</f>
        <v>0.04625</v>
      </c>
      <c r="I20" s="157"/>
      <c r="J20" s="290"/>
      <c r="K20" s="282"/>
      <c r="L20" s="62"/>
      <c r="M20" s="441">
        <f>M22+M24</f>
        <v>46035</v>
      </c>
      <c r="N20" s="398">
        <f>N22</f>
        <v>21218</v>
      </c>
      <c r="O20" s="399">
        <f>O22+O24</f>
        <v>23017</v>
      </c>
      <c r="P20" s="399">
        <f>P24</f>
        <v>1800</v>
      </c>
      <c r="Q20" s="399">
        <v>0</v>
      </c>
      <c r="R20" s="399">
        <v>0</v>
      </c>
      <c r="S20" s="399">
        <v>0</v>
      </c>
      <c r="T20" s="400">
        <v>0</v>
      </c>
      <c r="U20" s="2"/>
      <c r="V20" s="396">
        <f t="shared" si="1"/>
        <v>46035</v>
      </c>
    </row>
    <row r="21" spans="1:22" ht="27" customHeight="1">
      <c r="A21" s="2"/>
      <c r="B21" s="47"/>
      <c r="C21" s="51"/>
      <c r="D21" s="235" t="s">
        <v>181</v>
      </c>
      <c r="E21" s="103">
        <f>M22</f>
        <v>42435</v>
      </c>
      <c r="F21" s="104">
        <v>41000</v>
      </c>
      <c r="G21" s="104">
        <f>E21-F21</f>
        <v>1435</v>
      </c>
      <c r="H21" s="69">
        <f>G21/F21</f>
        <v>0.035</v>
      </c>
      <c r="I21" s="163"/>
      <c r="J21" s="295"/>
      <c r="K21" s="287"/>
      <c r="L21" s="61"/>
      <c r="M21" s="446"/>
      <c r="N21" s="418"/>
      <c r="O21" s="419"/>
      <c r="P21" s="419"/>
      <c r="Q21" s="419"/>
      <c r="R21" s="419"/>
      <c r="S21" s="419"/>
      <c r="T21" s="420"/>
      <c r="U21" s="2"/>
      <c r="V21" s="396">
        <f t="shared" si="1"/>
        <v>0</v>
      </c>
    </row>
    <row r="22" spans="1:22" ht="27" customHeight="1">
      <c r="A22" s="2"/>
      <c r="B22" s="47"/>
      <c r="C22" s="51"/>
      <c r="D22" s="207" t="s">
        <v>54</v>
      </c>
      <c r="E22" s="103"/>
      <c r="F22" s="104"/>
      <c r="G22" s="104"/>
      <c r="H22" s="69"/>
      <c r="I22" s="159" t="s">
        <v>271</v>
      </c>
      <c r="J22" s="292"/>
      <c r="K22" s="284"/>
      <c r="L22" s="54" t="s">
        <v>143</v>
      </c>
      <c r="M22" s="443">
        <v>42435</v>
      </c>
      <c r="N22" s="404">
        <v>21218</v>
      </c>
      <c r="O22" s="406">
        <v>21217</v>
      </c>
      <c r="P22" s="406"/>
      <c r="Q22" s="406"/>
      <c r="R22" s="406"/>
      <c r="S22" s="406"/>
      <c r="T22" s="407"/>
      <c r="U22" s="2"/>
      <c r="V22" s="396">
        <f t="shared" si="1"/>
        <v>42435</v>
      </c>
    </row>
    <row r="23" spans="1:22" ht="27" customHeight="1">
      <c r="A23" s="2"/>
      <c r="B23" s="47"/>
      <c r="C23" s="51"/>
      <c r="D23" s="234" t="s">
        <v>55</v>
      </c>
      <c r="E23" s="101">
        <f>M24</f>
        <v>3600</v>
      </c>
      <c r="F23" s="102">
        <v>3000</v>
      </c>
      <c r="G23" s="102">
        <f>E23-F23</f>
        <v>600</v>
      </c>
      <c r="H23" s="68">
        <f>G23/F23</f>
        <v>0.2</v>
      </c>
      <c r="I23" s="158"/>
      <c r="J23" s="291"/>
      <c r="K23" s="283"/>
      <c r="L23" s="55"/>
      <c r="M23" s="442"/>
      <c r="N23" s="411"/>
      <c r="O23" s="490"/>
      <c r="P23" s="412"/>
      <c r="Q23" s="412"/>
      <c r="R23" s="412"/>
      <c r="S23" s="412"/>
      <c r="T23" s="413"/>
      <c r="U23" s="2"/>
      <c r="V23" s="396">
        <f t="shared" si="1"/>
        <v>0</v>
      </c>
    </row>
    <row r="24" spans="1:22" ht="27" customHeight="1">
      <c r="A24" s="2"/>
      <c r="B24" s="47"/>
      <c r="C24" s="51"/>
      <c r="D24" s="208" t="s">
        <v>244</v>
      </c>
      <c r="E24" s="105"/>
      <c r="F24" s="106" t="s">
        <v>648</v>
      </c>
      <c r="G24" s="106"/>
      <c r="H24" s="70"/>
      <c r="I24" s="159" t="s">
        <v>194</v>
      </c>
      <c r="J24" s="292">
        <v>100000</v>
      </c>
      <c r="K24" s="284" t="s">
        <v>485</v>
      </c>
      <c r="L24" s="54" t="s">
        <v>246</v>
      </c>
      <c r="M24" s="443">
        <f>(J24*3*12)/1000</f>
        <v>3600</v>
      </c>
      <c r="N24" s="600"/>
      <c r="O24" s="473">
        <v>1800</v>
      </c>
      <c r="P24" s="473">
        <v>1800</v>
      </c>
      <c r="Q24" s="473"/>
      <c r="R24" s="473"/>
      <c r="S24" s="473"/>
      <c r="T24" s="601"/>
      <c r="U24" s="2"/>
      <c r="V24" s="396">
        <f t="shared" si="1"/>
        <v>3600</v>
      </c>
    </row>
    <row r="25" spans="1:22" ht="27" customHeight="1">
      <c r="A25" s="2"/>
      <c r="B25" s="47"/>
      <c r="C25" s="688" t="s">
        <v>245</v>
      </c>
      <c r="D25" s="689"/>
      <c r="E25" s="99"/>
      <c r="F25" s="100"/>
      <c r="G25" s="100"/>
      <c r="H25" s="67"/>
      <c r="I25" s="157"/>
      <c r="J25" s="290"/>
      <c r="K25" s="282"/>
      <c r="L25" s="62"/>
      <c r="M25" s="441"/>
      <c r="N25" s="398"/>
      <c r="O25" s="399"/>
      <c r="P25" s="399"/>
      <c r="Q25" s="399"/>
      <c r="R25" s="399"/>
      <c r="S25" s="399"/>
      <c r="T25" s="400"/>
      <c r="U25" s="2"/>
      <c r="V25" s="396">
        <f t="shared" si="1"/>
        <v>0</v>
      </c>
    </row>
    <row r="26" spans="1:22" ht="27" customHeight="1">
      <c r="A26" s="2"/>
      <c r="B26" s="47"/>
      <c r="C26" s="57"/>
      <c r="D26" s="236" t="s">
        <v>56</v>
      </c>
      <c r="E26" s="103"/>
      <c r="F26" s="104"/>
      <c r="G26" s="104"/>
      <c r="H26" s="69"/>
      <c r="I26" s="163"/>
      <c r="J26" s="295"/>
      <c r="K26" s="287"/>
      <c r="L26" s="61"/>
      <c r="M26" s="446"/>
      <c r="N26" s="411"/>
      <c r="O26" s="409"/>
      <c r="P26" s="412"/>
      <c r="Q26" s="412"/>
      <c r="R26" s="412"/>
      <c r="S26" s="412"/>
      <c r="T26" s="413"/>
      <c r="U26" s="2"/>
      <c r="V26" s="396">
        <f t="shared" si="1"/>
        <v>0</v>
      </c>
    </row>
    <row r="27" spans="1:22" ht="27" customHeight="1">
      <c r="A27" s="2"/>
      <c r="B27" s="47"/>
      <c r="C27" s="51"/>
      <c r="D27" s="207" t="s">
        <v>57</v>
      </c>
      <c r="E27" s="103"/>
      <c r="F27" s="104"/>
      <c r="G27" s="104"/>
      <c r="H27" s="69"/>
      <c r="I27" s="164"/>
      <c r="J27" s="296"/>
      <c r="K27" s="165"/>
      <c r="L27" s="28"/>
      <c r="M27" s="447"/>
      <c r="N27" s="408"/>
      <c r="O27" s="409"/>
      <c r="P27" s="409"/>
      <c r="Q27" s="409"/>
      <c r="R27" s="409"/>
      <c r="S27" s="409"/>
      <c r="T27" s="410"/>
      <c r="U27" s="2"/>
      <c r="V27" s="396">
        <f t="shared" si="1"/>
        <v>0</v>
      </c>
    </row>
    <row r="28" spans="1:22" ht="27" customHeight="1">
      <c r="A28" s="2"/>
      <c r="B28" s="47"/>
      <c r="C28" s="688" t="s">
        <v>247</v>
      </c>
      <c r="D28" s="689"/>
      <c r="E28" s="99"/>
      <c r="F28" s="100"/>
      <c r="G28" s="100"/>
      <c r="H28" s="67"/>
      <c r="I28" s="157"/>
      <c r="J28" s="290"/>
      <c r="K28" s="282"/>
      <c r="L28" s="62"/>
      <c r="M28" s="441"/>
      <c r="N28" s="398"/>
      <c r="O28" s="399"/>
      <c r="P28" s="399"/>
      <c r="Q28" s="399"/>
      <c r="R28" s="399"/>
      <c r="S28" s="399"/>
      <c r="T28" s="400"/>
      <c r="U28" s="2"/>
      <c r="V28" s="396">
        <f t="shared" si="1"/>
        <v>0</v>
      </c>
    </row>
    <row r="29" spans="1:22" ht="27" customHeight="1">
      <c r="A29" s="2"/>
      <c r="B29" s="47"/>
      <c r="C29" s="57"/>
      <c r="D29" s="236" t="s">
        <v>248</v>
      </c>
      <c r="E29" s="103"/>
      <c r="F29" s="104"/>
      <c r="G29" s="104"/>
      <c r="H29" s="69"/>
      <c r="I29" s="163"/>
      <c r="J29" s="295"/>
      <c r="K29" s="287"/>
      <c r="L29" s="61"/>
      <c r="M29" s="446"/>
      <c r="N29" s="414"/>
      <c r="O29" s="415"/>
      <c r="P29" s="415"/>
      <c r="Q29" s="415"/>
      <c r="R29" s="415"/>
      <c r="S29" s="415"/>
      <c r="T29" s="416"/>
      <c r="U29" s="2"/>
      <c r="V29" s="396">
        <f t="shared" si="1"/>
        <v>0</v>
      </c>
    </row>
    <row r="30" spans="1:22" ht="27" customHeight="1">
      <c r="A30" s="2"/>
      <c r="B30" s="47"/>
      <c r="C30" s="51"/>
      <c r="D30" s="207" t="s">
        <v>249</v>
      </c>
      <c r="E30" s="103"/>
      <c r="F30" s="104"/>
      <c r="G30" s="104"/>
      <c r="H30" s="69"/>
      <c r="I30" s="164"/>
      <c r="J30" s="296"/>
      <c r="K30" s="165"/>
      <c r="L30" s="28"/>
      <c r="M30" s="447"/>
      <c r="N30" s="408"/>
      <c r="O30" s="409"/>
      <c r="P30" s="409"/>
      <c r="Q30" s="409"/>
      <c r="R30" s="409"/>
      <c r="S30" s="409"/>
      <c r="T30" s="410"/>
      <c r="U30" s="2"/>
      <c r="V30" s="396">
        <f t="shared" si="1"/>
        <v>0</v>
      </c>
    </row>
    <row r="31" spans="1:22" ht="27" customHeight="1">
      <c r="A31" s="2"/>
      <c r="B31" s="47"/>
      <c r="C31" s="688" t="s">
        <v>250</v>
      </c>
      <c r="D31" s="689"/>
      <c r="E31" s="99"/>
      <c r="F31" s="99"/>
      <c r="G31" s="100"/>
      <c r="H31" s="67"/>
      <c r="I31" s="157"/>
      <c r="J31" s="290"/>
      <c r="K31" s="282"/>
      <c r="L31" s="62"/>
      <c r="M31" s="441"/>
      <c r="N31" s="398"/>
      <c r="O31" s="399"/>
      <c r="P31" s="399"/>
      <c r="Q31" s="399"/>
      <c r="R31" s="399"/>
      <c r="S31" s="399"/>
      <c r="T31" s="400"/>
      <c r="U31" s="2"/>
      <c r="V31" s="396">
        <f t="shared" si="1"/>
        <v>0</v>
      </c>
    </row>
    <row r="32" spans="1:22" ht="27" customHeight="1">
      <c r="A32" s="2"/>
      <c r="B32" s="47"/>
      <c r="C32" s="57"/>
      <c r="D32" s="236" t="s">
        <v>251</v>
      </c>
      <c r="E32" s="103"/>
      <c r="F32" s="104"/>
      <c r="G32" s="104"/>
      <c r="H32" s="69"/>
      <c r="I32" s="163"/>
      <c r="J32" s="295"/>
      <c r="K32" s="287"/>
      <c r="L32" s="61"/>
      <c r="M32" s="446"/>
      <c r="N32" s="404"/>
      <c r="O32" s="406"/>
      <c r="P32" s="406"/>
      <c r="Q32" s="406"/>
      <c r="R32" s="406"/>
      <c r="S32" s="406"/>
      <c r="T32" s="407"/>
      <c r="U32" s="2"/>
      <c r="V32" s="396">
        <f t="shared" si="1"/>
        <v>0</v>
      </c>
    </row>
    <row r="33" spans="1:22" ht="27" customHeight="1">
      <c r="A33" s="2"/>
      <c r="B33" s="47"/>
      <c r="C33" s="51"/>
      <c r="D33" s="207" t="s">
        <v>58</v>
      </c>
      <c r="E33" s="103"/>
      <c r="F33" s="104"/>
      <c r="G33" s="104"/>
      <c r="H33" s="69"/>
      <c r="I33" s="164"/>
      <c r="J33" s="296"/>
      <c r="K33" s="165"/>
      <c r="L33" s="28"/>
      <c r="M33" s="447"/>
      <c r="N33" s="431"/>
      <c r="O33" s="432"/>
      <c r="P33" s="432"/>
      <c r="Q33" s="432"/>
      <c r="R33" s="432"/>
      <c r="S33" s="432"/>
      <c r="T33" s="433"/>
      <c r="U33" s="2"/>
      <c r="V33" s="396">
        <f t="shared" si="1"/>
        <v>0</v>
      </c>
    </row>
    <row r="34" spans="1:22" ht="27" customHeight="1">
      <c r="A34" s="2"/>
      <c r="B34" s="682" t="s">
        <v>647</v>
      </c>
      <c r="C34" s="683"/>
      <c r="D34" s="684"/>
      <c r="E34" s="107"/>
      <c r="F34" s="108"/>
      <c r="G34" s="108"/>
      <c r="H34" s="71"/>
      <c r="I34" s="162"/>
      <c r="J34" s="294"/>
      <c r="K34" s="286"/>
      <c r="L34" s="58"/>
      <c r="M34" s="445"/>
      <c r="N34" s="602"/>
      <c r="O34" s="437"/>
      <c r="P34" s="437"/>
      <c r="Q34" s="437"/>
      <c r="R34" s="437"/>
      <c r="S34" s="437"/>
      <c r="T34" s="466"/>
      <c r="U34" s="2"/>
      <c r="V34" s="396">
        <f t="shared" si="1"/>
        <v>0</v>
      </c>
    </row>
    <row r="35" spans="1:22" ht="27" customHeight="1">
      <c r="A35" s="2"/>
      <c r="B35" s="47"/>
      <c r="C35" s="688" t="s">
        <v>253</v>
      </c>
      <c r="D35" s="689"/>
      <c r="E35" s="99"/>
      <c r="F35" s="100"/>
      <c r="G35" s="100"/>
      <c r="H35" s="67"/>
      <c r="I35" s="157"/>
      <c r="J35" s="290"/>
      <c r="K35" s="282"/>
      <c r="L35" s="62"/>
      <c r="M35" s="441"/>
      <c r="N35" s="398"/>
      <c r="O35" s="399"/>
      <c r="P35" s="399"/>
      <c r="Q35" s="399"/>
      <c r="R35" s="399"/>
      <c r="S35" s="399"/>
      <c r="T35" s="400"/>
      <c r="U35" s="2"/>
      <c r="V35" s="396">
        <f t="shared" si="1"/>
        <v>0</v>
      </c>
    </row>
    <row r="36" spans="1:22" ht="27" customHeight="1">
      <c r="A36" s="2"/>
      <c r="B36" s="47"/>
      <c r="C36" s="51"/>
      <c r="D36" s="235" t="s">
        <v>182</v>
      </c>
      <c r="E36" s="103"/>
      <c r="F36" s="104"/>
      <c r="G36" s="104"/>
      <c r="H36" s="69"/>
      <c r="I36" s="163"/>
      <c r="J36" s="295"/>
      <c r="K36" s="287"/>
      <c r="L36" s="61"/>
      <c r="M36" s="446"/>
      <c r="N36" s="408"/>
      <c r="O36" s="412"/>
      <c r="P36" s="409"/>
      <c r="Q36" s="409"/>
      <c r="R36" s="409"/>
      <c r="S36" s="409"/>
      <c r="T36" s="410"/>
      <c r="U36" s="2"/>
      <c r="V36" s="396">
        <f t="shared" si="1"/>
        <v>0</v>
      </c>
    </row>
    <row r="37" spans="1:22" ht="27" customHeight="1">
      <c r="A37" s="2"/>
      <c r="B37" s="449"/>
      <c r="C37" s="52"/>
      <c r="D37" s="450" t="s">
        <v>59</v>
      </c>
      <c r="E37" s="109"/>
      <c r="F37" s="110"/>
      <c r="G37" s="110"/>
      <c r="H37" s="72"/>
      <c r="I37" s="355"/>
      <c r="J37" s="352"/>
      <c r="K37" s="356"/>
      <c r="L37" s="308"/>
      <c r="M37" s="448"/>
      <c r="N37" s="600"/>
      <c r="O37" s="473"/>
      <c r="P37" s="473"/>
      <c r="Q37" s="473"/>
      <c r="R37" s="473"/>
      <c r="S37" s="473"/>
      <c r="T37" s="601"/>
      <c r="U37" s="2"/>
      <c r="V37" s="396">
        <f t="shared" si="1"/>
        <v>0</v>
      </c>
    </row>
    <row r="38" spans="1:22" ht="27" customHeight="1">
      <c r="A38" s="2"/>
      <c r="B38" s="682" t="s">
        <v>254</v>
      </c>
      <c r="C38" s="683"/>
      <c r="D38" s="684"/>
      <c r="E38" s="107"/>
      <c r="F38" s="108"/>
      <c r="G38" s="108"/>
      <c r="H38" s="71"/>
      <c r="I38" s="162"/>
      <c r="J38" s="294"/>
      <c r="K38" s="286"/>
      <c r="L38" s="58"/>
      <c r="M38" s="445"/>
      <c r="N38" s="427"/>
      <c r="O38" s="428"/>
      <c r="P38" s="428"/>
      <c r="Q38" s="428"/>
      <c r="R38" s="428"/>
      <c r="S38" s="428"/>
      <c r="T38" s="429"/>
      <c r="U38" s="2"/>
      <c r="V38" s="396">
        <f t="shared" si="1"/>
        <v>0</v>
      </c>
    </row>
    <row r="39" spans="1:22" ht="27" customHeight="1">
      <c r="A39" s="2"/>
      <c r="B39" s="47"/>
      <c r="C39" s="688" t="s">
        <v>255</v>
      </c>
      <c r="D39" s="689"/>
      <c r="E39" s="99"/>
      <c r="F39" s="100"/>
      <c r="G39" s="100"/>
      <c r="H39" s="67"/>
      <c r="I39" s="157"/>
      <c r="J39" s="290"/>
      <c r="K39" s="282"/>
      <c r="L39" s="62"/>
      <c r="M39" s="441"/>
      <c r="N39" s="398"/>
      <c r="O39" s="399"/>
      <c r="P39" s="399"/>
      <c r="Q39" s="399"/>
      <c r="R39" s="399"/>
      <c r="S39" s="399"/>
      <c r="T39" s="400"/>
      <c r="U39" s="2"/>
      <c r="V39" s="396">
        <f t="shared" si="1"/>
        <v>0</v>
      </c>
    </row>
    <row r="40" spans="1:22" ht="27" customHeight="1">
      <c r="A40" s="2"/>
      <c r="B40" s="47"/>
      <c r="C40" s="51"/>
      <c r="D40" s="235" t="s">
        <v>183</v>
      </c>
      <c r="E40" s="103"/>
      <c r="F40" s="104"/>
      <c r="G40" s="104"/>
      <c r="H40" s="69"/>
      <c r="I40" s="163"/>
      <c r="J40" s="295"/>
      <c r="K40" s="287"/>
      <c r="L40" s="61"/>
      <c r="M40" s="446"/>
      <c r="N40" s="414"/>
      <c r="O40" s="415"/>
      <c r="P40" s="415"/>
      <c r="Q40" s="415"/>
      <c r="R40" s="415"/>
      <c r="S40" s="415"/>
      <c r="T40" s="416"/>
      <c r="U40" s="2"/>
      <c r="V40" s="396">
        <f t="shared" si="1"/>
        <v>0</v>
      </c>
    </row>
    <row r="41" spans="1:22" ht="27" customHeight="1">
      <c r="A41" s="2"/>
      <c r="B41" s="47"/>
      <c r="C41" s="51"/>
      <c r="D41" s="208" t="s">
        <v>60</v>
      </c>
      <c r="E41" s="105"/>
      <c r="F41" s="106"/>
      <c r="G41" s="106"/>
      <c r="H41" s="70"/>
      <c r="I41" s="159"/>
      <c r="J41" s="292"/>
      <c r="K41" s="284"/>
      <c r="L41" s="54"/>
      <c r="M41" s="443"/>
      <c r="N41" s="431"/>
      <c r="O41" s="432"/>
      <c r="P41" s="432"/>
      <c r="Q41" s="432"/>
      <c r="R41" s="432"/>
      <c r="S41" s="432"/>
      <c r="T41" s="433"/>
      <c r="U41" s="2"/>
      <c r="V41" s="396">
        <f t="shared" si="1"/>
        <v>0</v>
      </c>
    </row>
    <row r="42" spans="1:22" ht="27" customHeight="1">
      <c r="A42" s="2"/>
      <c r="B42" s="682" t="s">
        <v>256</v>
      </c>
      <c r="C42" s="683"/>
      <c r="D42" s="684"/>
      <c r="E42" s="107">
        <f>SUM(E44,E46)</f>
        <v>1292</v>
      </c>
      <c r="F42" s="107">
        <f>SUM(F44,F46)</f>
        <v>1149</v>
      </c>
      <c r="G42" s="108">
        <f>E42-F42</f>
        <v>143</v>
      </c>
      <c r="H42" s="71">
        <f>G42/F42</f>
        <v>0.12445604873803308</v>
      </c>
      <c r="I42" s="162"/>
      <c r="J42" s="294"/>
      <c r="K42" s="286"/>
      <c r="L42" s="58"/>
      <c r="M42" s="597">
        <f>SUM(M45,M47)</f>
        <v>1292</v>
      </c>
      <c r="N42" s="602"/>
      <c r="O42" s="437"/>
      <c r="P42" s="437"/>
      <c r="Q42" s="437"/>
      <c r="R42" s="437"/>
      <c r="S42" s="437"/>
      <c r="T42" s="466">
        <v>1292</v>
      </c>
      <c r="U42" s="2"/>
      <c r="V42" s="396"/>
    </row>
    <row r="43" spans="1:22" ht="27" customHeight="1">
      <c r="A43" s="2"/>
      <c r="B43" s="47"/>
      <c r="C43" s="688" t="s">
        <v>257</v>
      </c>
      <c r="D43" s="689"/>
      <c r="E43" s="99">
        <f>E44</f>
        <v>1292</v>
      </c>
      <c r="F43" s="99">
        <f>F44</f>
        <v>1149</v>
      </c>
      <c r="G43" s="100">
        <f>E43-F43</f>
        <v>143</v>
      </c>
      <c r="H43" s="67">
        <f>G43/F43</f>
        <v>0.12445604873803308</v>
      </c>
      <c r="I43" s="157"/>
      <c r="J43" s="290"/>
      <c r="K43" s="282"/>
      <c r="L43" s="62"/>
      <c r="M43" s="441">
        <f>M45</f>
        <v>1292</v>
      </c>
      <c r="N43" s="398"/>
      <c r="O43" s="399"/>
      <c r="P43" s="399"/>
      <c r="Q43" s="399"/>
      <c r="R43" s="399"/>
      <c r="S43" s="399"/>
      <c r="T43" s="400">
        <v>1292</v>
      </c>
      <c r="U43" s="2"/>
      <c r="V43" s="396"/>
    </row>
    <row r="44" spans="1:22" ht="27" customHeight="1">
      <c r="A44" s="2"/>
      <c r="B44" s="47"/>
      <c r="C44" s="51"/>
      <c r="D44" s="235" t="s">
        <v>184</v>
      </c>
      <c r="E44" s="103">
        <v>1292</v>
      </c>
      <c r="F44" s="104">
        <v>1149</v>
      </c>
      <c r="G44" s="104">
        <f>E44-F44</f>
        <v>143</v>
      </c>
      <c r="H44" s="69">
        <f>G44/F44</f>
        <v>0.12445604873803308</v>
      </c>
      <c r="I44" s="163"/>
      <c r="J44" s="295"/>
      <c r="K44" s="287"/>
      <c r="L44" s="61"/>
      <c r="M44" s="446"/>
      <c r="N44" s="411"/>
      <c r="O44" s="412"/>
      <c r="P44" s="412"/>
      <c r="Q44" s="412"/>
      <c r="R44" s="412"/>
      <c r="S44" s="412"/>
      <c r="T44" s="413"/>
      <c r="U44" s="2"/>
      <c r="V44" s="396">
        <f t="shared" si="1"/>
        <v>0</v>
      </c>
    </row>
    <row r="45" spans="1:22" ht="27" customHeight="1">
      <c r="A45" s="2"/>
      <c r="B45" s="47"/>
      <c r="C45" s="51"/>
      <c r="D45" s="207" t="s">
        <v>61</v>
      </c>
      <c r="E45" s="103"/>
      <c r="F45" s="104"/>
      <c r="G45" s="104"/>
      <c r="H45" s="69"/>
      <c r="I45" s="159" t="s">
        <v>272</v>
      </c>
      <c r="J45" s="292"/>
      <c r="K45" s="284"/>
      <c r="L45" s="54"/>
      <c r="M45" s="443">
        <v>1292</v>
      </c>
      <c r="N45" s="404"/>
      <c r="O45" s="406"/>
      <c r="P45" s="406"/>
      <c r="Q45" s="406"/>
      <c r="R45" s="406"/>
      <c r="S45" s="406"/>
      <c r="T45" s="407">
        <v>1292</v>
      </c>
      <c r="U45" s="2"/>
      <c r="V45" s="396">
        <f t="shared" si="1"/>
        <v>1292</v>
      </c>
    </row>
    <row r="46" spans="1:22" ht="27" customHeight="1">
      <c r="A46" s="2"/>
      <c r="B46" s="47"/>
      <c r="C46" s="51"/>
      <c r="D46" s="234" t="s">
        <v>258</v>
      </c>
      <c r="E46" s="101"/>
      <c r="F46" s="102"/>
      <c r="G46" s="102"/>
      <c r="H46" s="68"/>
      <c r="I46" s="158"/>
      <c r="J46" s="291"/>
      <c r="K46" s="283"/>
      <c r="L46" s="55"/>
      <c r="M46" s="442"/>
      <c r="N46" s="414"/>
      <c r="O46" s="415"/>
      <c r="P46" s="415"/>
      <c r="Q46" s="415"/>
      <c r="R46" s="415"/>
      <c r="S46" s="406"/>
      <c r="T46" s="416"/>
      <c r="U46" s="2"/>
      <c r="V46" s="396">
        <f t="shared" si="1"/>
        <v>0</v>
      </c>
    </row>
    <row r="47" spans="1:22" ht="27" customHeight="1">
      <c r="A47" s="2"/>
      <c r="B47" s="47"/>
      <c r="C47" s="51"/>
      <c r="D47" s="207" t="s">
        <v>62</v>
      </c>
      <c r="E47" s="109"/>
      <c r="F47" s="110"/>
      <c r="G47" s="110"/>
      <c r="H47" s="72"/>
      <c r="I47" s="164"/>
      <c r="J47" s="296"/>
      <c r="K47" s="165"/>
      <c r="L47" s="54"/>
      <c r="M47" s="447"/>
      <c r="N47" s="431"/>
      <c r="O47" s="432"/>
      <c r="P47" s="432"/>
      <c r="Q47" s="432"/>
      <c r="R47" s="432"/>
      <c r="S47" s="432"/>
      <c r="T47" s="433"/>
      <c r="U47" s="2"/>
      <c r="V47" s="396">
        <f t="shared" si="1"/>
        <v>0</v>
      </c>
    </row>
    <row r="48" spans="1:22" ht="27" customHeight="1">
      <c r="A48" s="2"/>
      <c r="B48" s="682" t="s">
        <v>259</v>
      </c>
      <c r="C48" s="683"/>
      <c r="D48" s="684"/>
      <c r="E48" s="107">
        <f>SUM(E49)</f>
        <v>2</v>
      </c>
      <c r="F48" s="107">
        <f>SUM(F49)</f>
        <v>1</v>
      </c>
      <c r="G48" s="108">
        <f>E48-F48</f>
        <v>1</v>
      </c>
      <c r="H48" s="71">
        <f>G48/F48</f>
        <v>1</v>
      </c>
      <c r="I48" s="162"/>
      <c r="J48" s="294"/>
      <c r="K48" s="286"/>
      <c r="L48" s="58"/>
      <c r="M48" s="597">
        <f>SUM(M51,M53,M55)</f>
        <v>2</v>
      </c>
      <c r="N48" s="602"/>
      <c r="O48" s="437"/>
      <c r="P48" s="437"/>
      <c r="Q48" s="437"/>
      <c r="R48" s="437"/>
      <c r="S48" s="437"/>
      <c r="T48" s="466">
        <v>2</v>
      </c>
      <c r="U48" s="2"/>
      <c r="V48" s="396">
        <f t="shared" si="1"/>
        <v>2</v>
      </c>
    </row>
    <row r="49" spans="1:22" ht="27" customHeight="1">
      <c r="A49" s="2"/>
      <c r="B49" s="47"/>
      <c r="C49" s="688" t="s">
        <v>260</v>
      </c>
      <c r="D49" s="689"/>
      <c r="E49" s="99">
        <f>E50+E52</f>
        <v>2</v>
      </c>
      <c r="F49" s="99">
        <f>F50+F52</f>
        <v>1</v>
      </c>
      <c r="G49" s="100">
        <f>E49-F49</f>
        <v>1</v>
      </c>
      <c r="H49" s="67">
        <f>G49/F49</f>
        <v>1</v>
      </c>
      <c r="I49" s="157"/>
      <c r="J49" s="290"/>
      <c r="K49" s="282"/>
      <c r="L49" s="62"/>
      <c r="M49" s="441">
        <f>M51+M53</f>
        <v>2</v>
      </c>
      <c r="N49" s="398"/>
      <c r="O49" s="399"/>
      <c r="P49" s="399"/>
      <c r="Q49" s="399"/>
      <c r="R49" s="399"/>
      <c r="S49" s="399"/>
      <c r="T49" s="400">
        <v>2</v>
      </c>
      <c r="U49" s="2"/>
      <c r="V49" s="396"/>
    </row>
    <row r="50" spans="1:22" ht="27" customHeight="1">
      <c r="A50" s="2"/>
      <c r="B50" s="47"/>
      <c r="C50" s="51"/>
      <c r="D50" s="235" t="s">
        <v>185</v>
      </c>
      <c r="E50" s="103"/>
      <c r="F50" s="104"/>
      <c r="G50" s="104"/>
      <c r="H50" s="69"/>
      <c r="I50" s="163"/>
      <c r="J50" s="295"/>
      <c r="K50" s="287"/>
      <c r="L50" s="61"/>
      <c r="M50" s="446"/>
      <c r="N50" s="414"/>
      <c r="O50" s="415"/>
      <c r="P50" s="415"/>
      <c r="Q50" s="415"/>
      <c r="R50" s="415"/>
      <c r="S50" s="415"/>
      <c r="T50" s="416"/>
      <c r="U50" s="2"/>
      <c r="V50" s="396">
        <f t="shared" si="1"/>
        <v>0</v>
      </c>
    </row>
    <row r="51" spans="1:22" ht="27" customHeight="1">
      <c r="A51" s="2"/>
      <c r="B51" s="47"/>
      <c r="C51" s="51"/>
      <c r="D51" s="207" t="s">
        <v>261</v>
      </c>
      <c r="E51" s="103"/>
      <c r="F51" s="104"/>
      <c r="G51" s="104"/>
      <c r="H51" s="69"/>
      <c r="I51" s="159"/>
      <c r="J51" s="292"/>
      <c r="K51" s="284"/>
      <c r="L51" s="54"/>
      <c r="M51" s="443"/>
      <c r="N51" s="414"/>
      <c r="O51" s="415"/>
      <c r="P51" s="415"/>
      <c r="Q51" s="415"/>
      <c r="R51" s="415"/>
      <c r="S51" s="415"/>
      <c r="T51" s="416"/>
      <c r="U51" s="2"/>
      <c r="V51" s="396">
        <f t="shared" si="1"/>
        <v>0</v>
      </c>
    </row>
    <row r="52" spans="1:22" ht="27" customHeight="1">
      <c r="A52" s="2"/>
      <c r="B52" s="47"/>
      <c r="C52" s="51"/>
      <c r="D52" s="234" t="s">
        <v>262</v>
      </c>
      <c r="E52" s="101">
        <f>M53</f>
        <v>2</v>
      </c>
      <c r="F52" s="102">
        <v>1</v>
      </c>
      <c r="G52" s="102">
        <f>E52-F52</f>
        <v>1</v>
      </c>
      <c r="H52" s="68">
        <f>G52/F52</f>
        <v>1</v>
      </c>
      <c r="I52" s="158"/>
      <c r="J52" s="291"/>
      <c r="K52" s="283"/>
      <c r="L52" s="55"/>
      <c r="M52" s="442"/>
      <c r="N52" s="408"/>
      <c r="O52" s="409"/>
      <c r="P52" s="409"/>
      <c r="Q52" s="409"/>
      <c r="R52" s="409"/>
      <c r="S52" s="409"/>
      <c r="T52" s="410"/>
      <c r="U52" s="2"/>
      <c r="V52" s="396">
        <f t="shared" si="1"/>
        <v>0</v>
      </c>
    </row>
    <row r="53" spans="1:22" ht="27" customHeight="1">
      <c r="A53" s="2"/>
      <c r="B53" s="47"/>
      <c r="C53" s="51"/>
      <c r="D53" s="207" t="s">
        <v>63</v>
      </c>
      <c r="E53" s="103"/>
      <c r="F53" s="104"/>
      <c r="G53" s="104"/>
      <c r="H53" s="69"/>
      <c r="I53" s="164" t="s">
        <v>273</v>
      </c>
      <c r="J53" s="296"/>
      <c r="K53" s="165"/>
      <c r="L53" s="54"/>
      <c r="M53" s="447">
        <v>2</v>
      </c>
      <c r="N53" s="434"/>
      <c r="O53" s="436"/>
      <c r="P53" s="436"/>
      <c r="Q53" s="436"/>
      <c r="R53" s="436"/>
      <c r="S53" s="436"/>
      <c r="T53" s="435">
        <v>2</v>
      </c>
      <c r="U53" s="2"/>
      <c r="V53" s="396">
        <f t="shared" si="1"/>
        <v>2</v>
      </c>
    </row>
    <row r="54" spans="1:22" ht="27" customHeight="1">
      <c r="A54" s="2"/>
      <c r="B54" s="47"/>
      <c r="C54" s="51"/>
      <c r="D54" s="234" t="s">
        <v>263</v>
      </c>
      <c r="E54" s="101"/>
      <c r="F54" s="102"/>
      <c r="G54" s="102"/>
      <c r="H54" s="68"/>
      <c r="I54" s="158"/>
      <c r="J54" s="291"/>
      <c r="K54" s="283"/>
      <c r="L54" s="55"/>
      <c r="M54" s="442"/>
      <c r="N54" s="411"/>
      <c r="O54" s="412"/>
      <c r="P54" s="412"/>
      <c r="Q54" s="412"/>
      <c r="R54" s="412"/>
      <c r="S54" s="412"/>
      <c r="T54" s="413"/>
      <c r="U54" s="2"/>
      <c r="V54" s="396">
        <f t="shared" si="1"/>
        <v>0</v>
      </c>
    </row>
    <row r="55" spans="1:22" ht="27" customHeight="1">
      <c r="A55" s="2"/>
      <c r="B55" s="47"/>
      <c r="C55" s="51"/>
      <c r="D55" s="207" t="s">
        <v>64</v>
      </c>
      <c r="E55" s="103"/>
      <c r="F55" s="104"/>
      <c r="G55" s="104"/>
      <c r="H55" s="69"/>
      <c r="I55" s="164"/>
      <c r="J55" s="296"/>
      <c r="K55" s="165"/>
      <c r="L55" s="54"/>
      <c r="M55" s="447"/>
      <c r="N55" s="404"/>
      <c r="O55" s="406"/>
      <c r="P55" s="406"/>
      <c r="Q55" s="406"/>
      <c r="R55" s="406"/>
      <c r="S55" s="406"/>
      <c r="T55" s="407"/>
      <c r="U55" s="2"/>
      <c r="V55" s="396">
        <f t="shared" si="1"/>
        <v>0</v>
      </c>
    </row>
    <row r="56" spans="1:22" ht="27" customHeight="1">
      <c r="A56" s="53"/>
      <c r="B56" s="449"/>
      <c r="C56" s="52"/>
      <c r="D56" s="450"/>
      <c r="E56" s="109"/>
      <c r="F56" s="110"/>
      <c r="G56" s="110"/>
      <c r="H56" s="72"/>
      <c r="I56" s="458"/>
      <c r="J56" s="459"/>
      <c r="K56" s="460"/>
      <c r="L56" s="50"/>
      <c r="M56" s="461"/>
      <c r="N56" s="600"/>
      <c r="O56" s="473"/>
      <c r="P56" s="473"/>
      <c r="Q56" s="473"/>
      <c r="R56" s="473"/>
      <c r="S56" s="473"/>
      <c r="T56" s="601"/>
      <c r="U56" s="2"/>
      <c r="V56" s="396"/>
    </row>
  </sheetData>
  <mergeCells count="29">
    <mergeCell ref="I4:M5"/>
    <mergeCell ref="L3:M3"/>
    <mergeCell ref="A2:T2"/>
    <mergeCell ref="B6:D6"/>
    <mergeCell ref="S3:T3"/>
    <mergeCell ref="N4:T4"/>
    <mergeCell ref="B4:D4"/>
    <mergeCell ref="E4:E5"/>
    <mergeCell ref="F4:F5"/>
    <mergeCell ref="G4:H4"/>
    <mergeCell ref="B7:D7"/>
    <mergeCell ref="C8:D8"/>
    <mergeCell ref="B15:D15"/>
    <mergeCell ref="B11:D11"/>
    <mergeCell ref="C12:D12"/>
    <mergeCell ref="B34:D34"/>
    <mergeCell ref="C35:D35"/>
    <mergeCell ref="C16:D16"/>
    <mergeCell ref="B19:D19"/>
    <mergeCell ref="C20:D20"/>
    <mergeCell ref="C25:D25"/>
    <mergeCell ref="C28:D28"/>
    <mergeCell ref="C31:D31"/>
    <mergeCell ref="B48:D48"/>
    <mergeCell ref="C49:D49"/>
    <mergeCell ref="B38:D38"/>
    <mergeCell ref="C39:D39"/>
    <mergeCell ref="B42:D42"/>
    <mergeCell ref="C43:D43"/>
  </mergeCells>
  <printOptions/>
  <pageMargins left="0.35433070866141736" right="0.35433070866141736" top="0.5905511811023623" bottom="0.3937007874015748" header="0" footer="0"/>
  <pageSetup firstPageNumber="98" useFirstPageNumber="1" horizontalDpi="600" verticalDpi="600" orientation="landscape" paperSize="9" r:id="rId1"/>
  <ignoredErrors>
    <ignoredError sqref="G8 N20" formula="1"/>
    <ignoredError sqref="V22 V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V138"/>
  <sheetViews>
    <sheetView workbookViewId="0" topLeftCell="B1">
      <selection activeCell="B1" sqref="A1:T138"/>
    </sheetView>
  </sheetViews>
  <sheetFormatPr defaultColWidth="8.88671875" defaultRowHeight="13.5"/>
  <cols>
    <col min="1" max="1" width="8.88671875" style="0" hidden="1" customWidth="1"/>
    <col min="2" max="2" width="2.88671875" style="0" customWidth="1"/>
    <col min="3" max="3" width="2.6640625" style="0" customWidth="1"/>
    <col min="4" max="4" width="7.99609375" style="0" customWidth="1"/>
    <col min="5" max="5" width="7.3359375" style="0" customWidth="1"/>
    <col min="6" max="6" width="7.99609375" style="0" customWidth="1"/>
    <col min="7" max="8" width="5.99609375" style="0" customWidth="1"/>
    <col min="9" max="9" width="9.99609375" style="0" customWidth="1"/>
    <col min="10" max="10" width="7.77734375" style="0" customWidth="1"/>
    <col min="11" max="11" width="7.4453125" style="0" customWidth="1"/>
    <col min="12" max="12" width="3.21484375" style="0" customWidth="1"/>
    <col min="13" max="13" width="10.4453125" style="0" customWidth="1"/>
    <col min="14" max="14" width="5.77734375" style="0" customWidth="1"/>
    <col min="15" max="15" width="6.6640625" style="0" customWidth="1"/>
    <col min="16" max="16" width="5.4453125" style="0" customWidth="1"/>
    <col min="17" max="17" width="5.77734375" style="0" customWidth="1"/>
    <col min="18" max="18" width="5.5546875" style="0" customWidth="1"/>
    <col min="19" max="19" width="6.88671875" style="0" customWidth="1"/>
    <col min="20" max="20" width="5.88671875" style="0" customWidth="1"/>
    <col min="21" max="21" width="1.77734375" style="0" customWidth="1"/>
  </cols>
  <sheetData>
    <row r="2" spans="1:22" ht="33" customHeight="1">
      <c r="A2" s="690" t="s">
        <v>936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706"/>
      <c r="O2" s="706"/>
      <c r="P2" s="706"/>
      <c r="Q2" s="706"/>
      <c r="R2" s="706"/>
      <c r="S2" s="706"/>
      <c r="T2" s="706"/>
      <c r="U2" s="2"/>
      <c r="V2" s="26"/>
    </row>
    <row r="3" spans="1:22" ht="13.5">
      <c r="A3" s="1"/>
      <c r="B3" s="40"/>
      <c r="C3" s="40"/>
      <c r="D3" s="218"/>
      <c r="E3" s="94"/>
      <c r="F3" s="3"/>
      <c r="G3" s="3"/>
      <c r="H3" s="64"/>
      <c r="I3" s="129"/>
      <c r="J3" s="244"/>
      <c r="K3" s="129"/>
      <c r="L3" s="675"/>
      <c r="M3" s="675"/>
      <c r="N3" s="393"/>
      <c r="O3" s="393"/>
      <c r="P3" s="393"/>
      <c r="Q3" s="393"/>
      <c r="R3" s="393"/>
      <c r="S3" s="675" t="s">
        <v>208</v>
      </c>
      <c r="T3" s="675"/>
      <c r="U3" s="2"/>
      <c r="V3" s="26"/>
    </row>
    <row r="4" spans="1:22" ht="25.5" customHeight="1">
      <c r="A4" s="1"/>
      <c r="B4" s="692" t="s">
        <v>264</v>
      </c>
      <c r="C4" s="693"/>
      <c r="D4" s="693"/>
      <c r="E4" s="704" t="s">
        <v>414</v>
      </c>
      <c r="F4" s="702" t="s">
        <v>374</v>
      </c>
      <c r="G4" s="676" t="s">
        <v>78</v>
      </c>
      <c r="H4" s="699"/>
      <c r="I4" s="697" t="s">
        <v>227</v>
      </c>
      <c r="J4" s="697"/>
      <c r="K4" s="697"/>
      <c r="L4" s="697"/>
      <c r="M4" s="697"/>
      <c r="N4" s="676" t="s">
        <v>872</v>
      </c>
      <c r="O4" s="676"/>
      <c r="P4" s="676"/>
      <c r="Q4" s="676"/>
      <c r="R4" s="676"/>
      <c r="S4" s="676"/>
      <c r="T4" s="677"/>
      <c r="U4" s="2"/>
      <c r="V4" s="26"/>
    </row>
    <row r="5" spans="1:22" ht="25.5" customHeight="1" thickBot="1">
      <c r="A5" s="1"/>
      <c r="B5" s="505" t="s">
        <v>74</v>
      </c>
      <c r="C5" s="506" t="s">
        <v>75</v>
      </c>
      <c r="D5" s="589" t="s">
        <v>76</v>
      </c>
      <c r="E5" s="701"/>
      <c r="F5" s="703"/>
      <c r="G5" s="357" t="s">
        <v>265</v>
      </c>
      <c r="H5" s="357" t="s">
        <v>73</v>
      </c>
      <c r="I5" s="698"/>
      <c r="J5" s="698"/>
      <c r="K5" s="698"/>
      <c r="L5" s="698"/>
      <c r="M5" s="698"/>
      <c r="N5" s="507" t="s">
        <v>932</v>
      </c>
      <c r="O5" s="507" t="s">
        <v>874</v>
      </c>
      <c r="P5" s="507" t="s">
        <v>875</v>
      </c>
      <c r="Q5" s="507" t="s">
        <v>876</v>
      </c>
      <c r="R5" s="507" t="s">
        <v>877</v>
      </c>
      <c r="S5" s="507" t="s">
        <v>878</v>
      </c>
      <c r="T5" s="508" t="s">
        <v>879</v>
      </c>
      <c r="U5" s="2"/>
      <c r="V5" s="394" t="s">
        <v>880</v>
      </c>
    </row>
    <row r="6" spans="1:22" ht="25.5" customHeight="1" thickBot="1" thickTop="1">
      <c r="A6" s="1"/>
      <c r="B6" s="694" t="s">
        <v>186</v>
      </c>
      <c r="C6" s="695"/>
      <c r="D6" s="696"/>
      <c r="E6" s="95">
        <f>E7+E92+E103+E135</f>
        <v>72169</v>
      </c>
      <c r="F6" s="95">
        <f>F7+F92+F103+F135</f>
        <v>66750</v>
      </c>
      <c r="G6" s="96">
        <f>E6-F6</f>
        <v>5419</v>
      </c>
      <c r="H6" s="65">
        <f>G6/F6</f>
        <v>0.08118352059925094</v>
      </c>
      <c r="I6" s="181"/>
      <c r="J6" s="245"/>
      <c r="K6" s="130"/>
      <c r="L6" s="60"/>
      <c r="M6" s="659">
        <f>M7+M92+M103+M117+M121+M125+M131+M135</f>
        <v>72169</v>
      </c>
      <c r="N6" s="655">
        <f aca="true" t="shared" si="0" ref="N6:T6">N7+N92+N103+N135</f>
        <v>21218</v>
      </c>
      <c r="O6" s="95">
        <f t="shared" si="0"/>
        <v>23017</v>
      </c>
      <c r="P6" s="95">
        <f t="shared" si="0"/>
        <v>1800</v>
      </c>
      <c r="Q6" s="95">
        <f t="shared" si="0"/>
        <v>0</v>
      </c>
      <c r="R6" s="95">
        <f t="shared" si="0"/>
        <v>0</v>
      </c>
      <c r="S6" s="95">
        <f t="shared" si="0"/>
        <v>24840</v>
      </c>
      <c r="T6" s="463">
        <f t="shared" si="0"/>
        <v>1294</v>
      </c>
      <c r="U6" s="2"/>
      <c r="V6" s="494">
        <f>V7+V92+V103+V135</f>
        <v>72169</v>
      </c>
    </row>
    <row r="7" spans="1:22" ht="25.5" customHeight="1" thickTop="1">
      <c r="A7" s="2"/>
      <c r="B7" s="685" t="s">
        <v>209</v>
      </c>
      <c r="C7" s="686"/>
      <c r="D7" s="687"/>
      <c r="E7" s="97">
        <v>64723</v>
      </c>
      <c r="F7" s="97">
        <f>F8+F53+F64</f>
        <v>57353</v>
      </c>
      <c r="G7" s="98">
        <f>E7-F7</f>
        <v>7370</v>
      </c>
      <c r="H7" s="66">
        <f>G7/F7</f>
        <v>0.12850243230519764</v>
      </c>
      <c r="I7" s="182"/>
      <c r="J7" s="246"/>
      <c r="K7" s="131"/>
      <c r="L7" s="59"/>
      <c r="M7" s="660">
        <v>64723</v>
      </c>
      <c r="N7" s="656">
        <f aca="true" t="shared" si="1" ref="N7:S7">N8+N53+N64</f>
        <v>21218</v>
      </c>
      <c r="O7" s="97">
        <f t="shared" si="1"/>
        <v>23017</v>
      </c>
      <c r="P7" s="97">
        <f t="shared" si="1"/>
        <v>1800</v>
      </c>
      <c r="Q7" s="97">
        <f t="shared" si="1"/>
        <v>0</v>
      </c>
      <c r="R7" s="97">
        <f t="shared" si="1"/>
        <v>0</v>
      </c>
      <c r="S7" s="97">
        <f t="shared" si="1"/>
        <v>17970</v>
      </c>
      <c r="T7" s="480">
        <v>718</v>
      </c>
      <c r="U7" s="2"/>
      <c r="V7" s="493">
        <v>64723</v>
      </c>
    </row>
    <row r="8" spans="1:22" ht="25.5" customHeight="1">
      <c r="A8" s="2"/>
      <c r="B8" s="47"/>
      <c r="C8" s="688" t="s">
        <v>210</v>
      </c>
      <c r="D8" s="689"/>
      <c r="E8" s="99">
        <f>E9+E14+E27+E31+E40+E43+E49</f>
        <v>55756.89039166667</v>
      </c>
      <c r="F8" s="99">
        <f>F9+F14+F27+F31+F40+F43+F49</f>
        <v>47189</v>
      </c>
      <c r="G8" s="100">
        <f>E8-F8</f>
        <v>8567.890391666668</v>
      </c>
      <c r="H8" s="67">
        <f>G8/F8</f>
        <v>0.1815654154923111</v>
      </c>
      <c r="I8" s="183"/>
      <c r="J8" s="247"/>
      <c r="K8" s="132"/>
      <c r="L8" s="62"/>
      <c r="M8" s="441">
        <v>55758</v>
      </c>
      <c r="N8" s="657">
        <f aca="true" t="shared" si="2" ref="N8:T8">N10+N15+N19+N23+N28+N31+N41+N44+N50</f>
        <v>21218</v>
      </c>
      <c r="O8" s="99">
        <f t="shared" si="2"/>
        <v>23017</v>
      </c>
      <c r="P8" s="99">
        <f t="shared" si="2"/>
        <v>1800</v>
      </c>
      <c r="Q8" s="99">
        <f t="shared" si="2"/>
        <v>0</v>
      </c>
      <c r="R8" s="99">
        <f t="shared" si="2"/>
        <v>0</v>
      </c>
      <c r="S8" s="99">
        <f t="shared" si="2"/>
        <v>9723</v>
      </c>
      <c r="T8" s="481">
        <f t="shared" si="2"/>
        <v>0</v>
      </c>
      <c r="U8" s="2"/>
      <c r="V8" s="495">
        <f>V10+V15+V19+V23+V28+V31+V41+V44+V50</f>
        <v>55758</v>
      </c>
    </row>
    <row r="9" spans="1:22" ht="25.5" customHeight="1">
      <c r="A9" s="2"/>
      <c r="B9" s="47"/>
      <c r="C9" s="51"/>
      <c r="D9" s="276" t="s">
        <v>172</v>
      </c>
      <c r="E9" s="103">
        <f>M10</f>
        <v>19914</v>
      </c>
      <c r="F9" s="104">
        <v>21816</v>
      </c>
      <c r="G9" s="313">
        <f>E9-F9</f>
        <v>-1902</v>
      </c>
      <c r="H9" s="314">
        <f>G9/F9</f>
        <v>-0.08718371837183718</v>
      </c>
      <c r="I9" s="184"/>
      <c r="J9" s="248"/>
      <c r="K9" s="133"/>
      <c r="L9" s="61"/>
      <c r="M9" s="446"/>
      <c r="N9" s="590"/>
      <c r="O9" s="402"/>
      <c r="P9" s="402"/>
      <c r="Q9" s="402"/>
      <c r="R9" s="402"/>
      <c r="S9" s="402"/>
      <c r="T9" s="403"/>
      <c r="U9" s="2"/>
      <c r="V9" s="396">
        <f aca="true" t="shared" si="3" ref="V9:V65">SUM(N9:T9)</f>
        <v>0</v>
      </c>
    </row>
    <row r="10" spans="1:22" ht="25.5" customHeight="1">
      <c r="A10" s="2"/>
      <c r="B10" s="47"/>
      <c r="C10" s="51"/>
      <c r="D10" s="220" t="s">
        <v>187</v>
      </c>
      <c r="E10" s="103"/>
      <c r="F10" s="104"/>
      <c r="G10" s="104"/>
      <c r="H10" s="69"/>
      <c r="I10" s="239" t="s">
        <v>599</v>
      </c>
      <c r="J10" s="249"/>
      <c r="K10" s="134"/>
      <c r="L10" s="54"/>
      <c r="M10" s="443">
        <f aca="true" t="shared" si="4" ref="M10:T10">SUM(M11:M13)</f>
        <v>19914</v>
      </c>
      <c r="N10" s="425">
        <f t="shared" si="4"/>
        <v>9957</v>
      </c>
      <c r="O10" s="406">
        <f t="shared" si="4"/>
        <v>9957</v>
      </c>
      <c r="P10" s="406">
        <f t="shared" si="4"/>
        <v>0</v>
      </c>
      <c r="Q10" s="406">
        <f t="shared" si="4"/>
        <v>0</v>
      </c>
      <c r="R10" s="406">
        <f t="shared" si="4"/>
        <v>0</v>
      </c>
      <c r="S10" s="406">
        <f t="shared" si="4"/>
        <v>0</v>
      </c>
      <c r="T10" s="407">
        <f t="shared" si="4"/>
        <v>0</v>
      </c>
      <c r="U10" s="2"/>
      <c r="V10" s="396">
        <f t="shared" si="3"/>
        <v>19914</v>
      </c>
    </row>
    <row r="11" spans="1:22" ht="25.5" customHeight="1">
      <c r="A11" s="2"/>
      <c r="B11" s="47"/>
      <c r="C11" s="51"/>
      <c r="D11" s="277"/>
      <c r="E11" s="103"/>
      <c r="F11" s="104"/>
      <c r="G11" s="104"/>
      <c r="H11" s="69"/>
      <c r="I11" s="186" t="s">
        <v>580</v>
      </c>
      <c r="J11" s="250">
        <v>847000</v>
      </c>
      <c r="K11" s="135" t="s">
        <v>526</v>
      </c>
      <c r="L11" s="49" t="s">
        <v>143</v>
      </c>
      <c r="M11" s="444">
        <f>J11*6/1000</f>
        <v>5082</v>
      </c>
      <c r="N11" s="414">
        <v>2541</v>
      </c>
      <c r="O11" s="415">
        <v>2541</v>
      </c>
      <c r="P11" s="415"/>
      <c r="Q11" s="415"/>
      <c r="R11" s="415"/>
      <c r="S11" s="415"/>
      <c r="T11" s="416"/>
      <c r="U11" s="2"/>
      <c r="V11" s="396">
        <f t="shared" si="3"/>
        <v>5082</v>
      </c>
    </row>
    <row r="12" spans="1:22" ht="25.5" customHeight="1">
      <c r="A12" s="2"/>
      <c r="B12" s="47"/>
      <c r="C12" s="51"/>
      <c r="D12" s="277"/>
      <c r="E12" s="103"/>
      <c r="F12" s="104"/>
      <c r="G12" s="104"/>
      <c r="H12" s="69"/>
      <c r="I12" s="186" t="s">
        <v>581</v>
      </c>
      <c r="J12" s="250">
        <v>870000</v>
      </c>
      <c r="K12" s="135" t="s">
        <v>526</v>
      </c>
      <c r="L12" s="49" t="s">
        <v>143</v>
      </c>
      <c r="M12" s="444">
        <f>J12*6/1000</f>
        <v>5220</v>
      </c>
      <c r="N12" s="414">
        <v>2610</v>
      </c>
      <c r="O12" s="415">
        <v>2610</v>
      </c>
      <c r="P12" s="415"/>
      <c r="Q12" s="415"/>
      <c r="R12" s="415"/>
      <c r="S12" s="415"/>
      <c r="T12" s="416"/>
      <c r="U12" s="2"/>
      <c r="V12" s="396">
        <f>SUM(N12:T12)</f>
        <v>5220</v>
      </c>
    </row>
    <row r="13" spans="1:22" ht="25.5" customHeight="1">
      <c r="A13" s="2"/>
      <c r="B13" s="47"/>
      <c r="C13" s="51"/>
      <c r="D13" s="220"/>
      <c r="E13" s="103"/>
      <c r="F13" s="104"/>
      <c r="G13" s="104"/>
      <c r="H13" s="69"/>
      <c r="I13" s="186" t="s">
        <v>582</v>
      </c>
      <c r="J13" s="250">
        <v>801000</v>
      </c>
      <c r="K13" s="135" t="s">
        <v>391</v>
      </c>
      <c r="L13" s="49" t="s">
        <v>143</v>
      </c>
      <c r="M13" s="444">
        <f>J13*12/1000</f>
        <v>9612</v>
      </c>
      <c r="N13" s="414">
        <v>4806</v>
      </c>
      <c r="O13" s="415">
        <v>4806</v>
      </c>
      <c r="P13" s="415"/>
      <c r="Q13" s="415"/>
      <c r="R13" s="415"/>
      <c r="S13" s="415"/>
      <c r="T13" s="416"/>
      <c r="U13" s="2"/>
      <c r="V13" s="396">
        <f t="shared" si="3"/>
        <v>9612</v>
      </c>
    </row>
    <row r="14" spans="1:22" ht="25.5" customHeight="1">
      <c r="A14" s="2"/>
      <c r="B14" s="47"/>
      <c r="C14" s="51"/>
      <c r="D14" s="222" t="s">
        <v>188</v>
      </c>
      <c r="E14" s="101">
        <f>M15+M19+M23</f>
        <v>8844.6</v>
      </c>
      <c r="F14" s="102">
        <v>7603</v>
      </c>
      <c r="G14" s="102">
        <f>E14-F14</f>
        <v>1241.6000000000004</v>
      </c>
      <c r="H14" s="68">
        <f>G14/F14</f>
        <v>0.16330395896356706</v>
      </c>
      <c r="I14" s="187"/>
      <c r="J14" s="251"/>
      <c r="K14" s="136"/>
      <c r="L14" s="55"/>
      <c r="M14" s="442"/>
      <c r="N14" s="594"/>
      <c r="O14" s="409"/>
      <c r="P14" s="409"/>
      <c r="Q14" s="409"/>
      <c r="R14" s="409"/>
      <c r="S14" s="409"/>
      <c r="T14" s="661"/>
      <c r="U14" s="2"/>
      <c r="V14" s="396">
        <f t="shared" si="3"/>
        <v>0</v>
      </c>
    </row>
    <row r="15" spans="1:22" ht="25.5" customHeight="1">
      <c r="A15" s="2"/>
      <c r="B15" s="47"/>
      <c r="C15" s="51"/>
      <c r="D15" s="220" t="s">
        <v>189</v>
      </c>
      <c r="E15" s="103"/>
      <c r="F15" s="104"/>
      <c r="G15" s="104"/>
      <c r="H15" s="69"/>
      <c r="I15" s="239" t="s">
        <v>479</v>
      </c>
      <c r="J15" s="249"/>
      <c r="K15" s="134"/>
      <c r="L15" s="54"/>
      <c r="M15" s="443">
        <f aca="true" t="shared" si="5" ref="M15:T15">SUM(M16:M18)</f>
        <v>2206.6000000000004</v>
      </c>
      <c r="N15" s="425">
        <f t="shared" si="5"/>
        <v>1105</v>
      </c>
      <c r="O15" s="406">
        <f t="shared" si="5"/>
        <v>1102</v>
      </c>
      <c r="P15" s="406">
        <f t="shared" si="5"/>
        <v>0</v>
      </c>
      <c r="Q15" s="406">
        <f t="shared" si="5"/>
        <v>0</v>
      </c>
      <c r="R15" s="406">
        <f t="shared" si="5"/>
        <v>0</v>
      </c>
      <c r="S15" s="406">
        <f t="shared" si="5"/>
        <v>0</v>
      </c>
      <c r="T15" s="407">
        <f t="shared" si="5"/>
        <v>0</v>
      </c>
      <c r="U15" s="2"/>
      <c r="V15" s="396">
        <f t="shared" si="3"/>
        <v>2207</v>
      </c>
    </row>
    <row r="16" spans="1:22" ht="25.5" customHeight="1">
      <c r="A16" s="2"/>
      <c r="B16" s="47"/>
      <c r="C16" s="51"/>
      <c r="D16" s="225"/>
      <c r="E16" s="103"/>
      <c r="F16" s="104"/>
      <c r="G16" s="104"/>
      <c r="H16" s="69"/>
      <c r="I16" s="186" t="s">
        <v>580</v>
      </c>
      <c r="J16" s="250">
        <v>847000</v>
      </c>
      <c r="K16" s="135" t="s">
        <v>396</v>
      </c>
      <c r="L16" s="49" t="s">
        <v>143</v>
      </c>
      <c r="M16" s="444">
        <f>J16*70%/1000</f>
        <v>592.9</v>
      </c>
      <c r="N16" s="414">
        <v>297</v>
      </c>
      <c r="O16" s="415">
        <v>296</v>
      </c>
      <c r="P16" s="415"/>
      <c r="Q16" s="415"/>
      <c r="R16" s="415"/>
      <c r="S16" s="415"/>
      <c r="T16" s="416"/>
      <c r="U16" s="2"/>
      <c r="V16" s="396">
        <f t="shared" si="3"/>
        <v>593</v>
      </c>
    </row>
    <row r="17" spans="1:22" ht="25.5" customHeight="1">
      <c r="A17" s="2"/>
      <c r="B17" s="47"/>
      <c r="C17" s="51"/>
      <c r="D17" s="225"/>
      <c r="E17" s="103"/>
      <c r="F17" s="104"/>
      <c r="G17" s="104"/>
      <c r="H17" s="69"/>
      <c r="I17" s="186" t="s">
        <v>581</v>
      </c>
      <c r="J17" s="250">
        <v>870000</v>
      </c>
      <c r="K17" s="135" t="s">
        <v>583</v>
      </c>
      <c r="L17" s="49" t="s">
        <v>143</v>
      </c>
      <c r="M17" s="444">
        <f>J17*75%/1000</f>
        <v>652.5</v>
      </c>
      <c r="N17" s="414">
        <v>327</v>
      </c>
      <c r="O17" s="415">
        <v>326</v>
      </c>
      <c r="P17" s="415"/>
      <c r="Q17" s="415"/>
      <c r="R17" s="415"/>
      <c r="S17" s="415"/>
      <c r="T17" s="416"/>
      <c r="U17" s="2"/>
      <c r="V17" s="396">
        <f t="shared" si="3"/>
        <v>653</v>
      </c>
    </row>
    <row r="18" spans="1:22" ht="25.5" customHeight="1">
      <c r="A18" s="2"/>
      <c r="B18" s="47"/>
      <c r="C18" s="51"/>
      <c r="D18" s="225"/>
      <c r="E18" s="103"/>
      <c r="F18" s="104"/>
      <c r="G18" s="104"/>
      <c r="H18" s="69"/>
      <c r="I18" s="186" t="s">
        <v>582</v>
      </c>
      <c r="J18" s="250">
        <v>801000</v>
      </c>
      <c r="K18" s="135" t="s">
        <v>587</v>
      </c>
      <c r="L18" s="49" t="s">
        <v>143</v>
      </c>
      <c r="M18" s="444">
        <f>J18*60%*2/1000</f>
        <v>961.2</v>
      </c>
      <c r="N18" s="408">
        <v>481</v>
      </c>
      <c r="O18" s="409">
        <v>480</v>
      </c>
      <c r="P18" s="409"/>
      <c r="Q18" s="409"/>
      <c r="R18" s="409"/>
      <c r="S18" s="409"/>
      <c r="T18" s="410"/>
      <c r="U18" s="2"/>
      <c r="V18" s="396">
        <f t="shared" si="3"/>
        <v>961</v>
      </c>
    </row>
    <row r="19" spans="1:22" ht="25.5" customHeight="1">
      <c r="A19" s="2"/>
      <c r="B19" s="47"/>
      <c r="C19" s="51"/>
      <c r="D19" s="56"/>
      <c r="E19" s="103"/>
      <c r="F19" s="104"/>
      <c r="G19" s="104"/>
      <c r="H19" s="69"/>
      <c r="I19" s="239" t="s">
        <v>482</v>
      </c>
      <c r="J19" s="249"/>
      <c r="K19" s="134"/>
      <c r="L19" s="54"/>
      <c r="M19" s="443">
        <f aca="true" t="shared" si="6" ref="M19:T19">SUM(M20:M22)</f>
        <v>3319</v>
      </c>
      <c r="N19" s="425">
        <f t="shared" si="6"/>
        <v>1660</v>
      </c>
      <c r="O19" s="406">
        <f t="shared" si="6"/>
        <v>1659</v>
      </c>
      <c r="P19" s="406">
        <f t="shared" si="6"/>
        <v>0</v>
      </c>
      <c r="Q19" s="406">
        <f t="shared" si="6"/>
        <v>0</v>
      </c>
      <c r="R19" s="406">
        <f t="shared" si="6"/>
        <v>0</v>
      </c>
      <c r="S19" s="406">
        <f t="shared" si="6"/>
        <v>0</v>
      </c>
      <c r="T19" s="407">
        <f t="shared" si="6"/>
        <v>0</v>
      </c>
      <c r="U19" s="2"/>
      <c r="V19" s="396">
        <f t="shared" si="3"/>
        <v>3319</v>
      </c>
    </row>
    <row r="20" spans="1:22" ht="25.5" customHeight="1">
      <c r="A20" s="2"/>
      <c r="B20" s="47"/>
      <c r="C20" s="51"/>
      <c r="D20" s="56"/>
      <c r="E20" s="103"/>
      <c r="F20" s="104"/>
      <c r="G20" s="104"/>
      <c r="H20" s="69"/>
      <c r="I20" s="186" t="s">
        <v>580</v>
      </c>
      <c r="J20" s="250">
        <v>847000</v>
      </c>
      <c r="K20" s="135" t="s">
        <v>585</v>
      </c>
      <c r="L20" s="49" t="s">
        <v>143</v>
      </c>
      <c r="M20" s="444">
        <f>J20*50%*2/1000</f>
        <v>847</v>
      </c>
      <c r="N20" s="414">
        <v>424</v>
      </c>
      <c r="O20" s="415">
        <v>423</v>
      </c>
      <c r="P20" s="415"/>
      <c r="Q20" s="415"/>
      <c r="R20" s="415"/>
      <c r="S20" s="415"/>
      <c r="T20" s="416"/>
      <c r="U20" s="2"/>
      <c r="V20" s="396">
        <f t="shared" si="3"/>
        <v>847</v>
      </c>
    </row>
    <row r="21" spans="1:22" ht="25.5" customHeight="1">
      <c r="A21" s="2"/>
      <c r="B21" s="449"/>
      <c r="C21" s="52"/>
      <c r="D21" s="53"/>
      <c r="E21" s="109"/>
      <c r="F21" s="110"/>
      <c r="G21" s="110"/>
      <c r="H21" s="72"/>
      <c r="I21" s="193" t="s">
        <v>581</v>
      </c>
      <c r="J21" s="261">
        <v>870000</v>
      </c>
      <c r="K21" s="139" t="s">
        <v>585</v>
      </c>
      <c r="L21" s="50" t="s">
        <v>143</v>
      </c>
      <c r="M21" s="461">
        <f>J21*50%*2/1000</f>
        <v>870</v>
      </c>
      <c r="N21" s="431">
        <v>435</v>
      </c>
      <c r="O21" s="432">
        <v>435</v>
      </c>
      <c r="P21" s="432"/>
      <c r="Q21" s="432"/>
      <c r="R21" s="432"/>
      <c r="S21" s="432"/>
      <c r="T21" s="433"/>
      <c r="U21" s="2"/>
      <c r="V21" s="396">
        <f t="shared" si="3"/>
        <v>870</v>
      </c>
    </row>
    <row r="22" spans="1:22" ht="25.5" customHeight="1">
      <c r="A22" s="2"/>
      <c r="B22" s="451"/>
      <c r="C22" s="57"/>
      <c r="D22" s="391"/>
      <c r="E22" s="304"/>
      <c r="F22" s="305"/>
      <c r="G22" s="305"/>
      <c r="H22" s="510"/>
      <c r="I22" s="306" t="s">
        <v>582</v>
      </c>
      <c r="J22" s="307">
        <v>801000</v>
      </c>
      <c r="K22" s="309" t="s">
        <v>586</v>
      </c>
      <c r="L22" s="242" t="s">
        <v>143</v>
      </c>
      <c r="M22" s="514">
        <f>J22*50%*4/1000</f>
        <v>1602</v>
      </c>
      <c r="N22" s="418">
        <v>801</v>
      </c>
      <c r="O22" s="419">
        <v>801</v>
      </c>
      <c r="P22" s="419"/>
      <c r="Q22" s="419"/>
      <c r="R22" s="419"/>
      <c r="S22" s="419"/>
      <c r="T22" s="420"/>
      <c r="U22" s="2"/>
      <c r="V22" s="396">
        <f t="shared" si="3"/>
        <v>1602</v>
      </c>
    </row>
    <row r="23" spans="1:22" ht="25.5" customHeight="1">
      <c r="A23" s="2"/>
      <c r="B23" s="47"/>
      <c r="C23" s="51"/>
      <c r="D23" s="56"/>
      <c r="E23" s="103"/>
      <c r="F23" s="104"/>
      <c r="G23" s="104"/>
      <c r="H23" s="69"/>
      <c r="I23" s="239" t="s">
        <v>584</v>
      </c>
      <c r="J23" s="249"/>
      <c r="K23" s="134"/>
      <c r="L23" s="54"/>
      <c r="M23" s="443">
        <f aca="true" t="shared" si="7" ref="M23:T23">SUM(M24:M26)</f>
        <v>3319</v>
      </c>
      <c r="N23" s="425">
        <f t="shared" si="7"/>
        <v>1660</v>
      </c>
      <c r="O23" s="406">
        <f t="shared" si="7"/>
        <v>1659</v>
      </c>
      <c r="P23" s="406">
        <f t="shared" si="7"/>
        <v>0</v>
      </c>
      <c r="Q23" s="406">
        <f t="shared" si="7"/>
        <v>0</v>
      </c>
      <c r="R23" s="406">
        <f t="shared" si="7"/>
        <v>0</v>
      </c>
      <c r="S23" s="406">
        <f t="shared" si="7"/>
        <v>0</v>
      </c>
      <c r="T23" s="407">
        <f t="shared" si="7"/>
        <v>0</v>
      </c>
      <c r="U23" s="2"/>
      <c r="V23" s="396">
        <f t="shared" si="3"/>
        <v>3319</v>
      </c>
    </row>
    <row r="24" spans="1:22" ht="25.5" customHeight="1">
      <c r="A24" s="2"/>
      <c r="B24" s="47"/>
      <c r="C24" s="51"/>
      <c r="D24" s="56"/>
      <c r="E24" s="103"/>
      <c r="F24" s="104"/>
      <c r="G24" s="104"/>
      <c r="H24" s="69"/>
      <c r="I24" s="186" t="s">
        <v>580</v>
      </c>
      <c r="J24" s="250">
        <v>847000</v>
      </c>
      <c r="K24" s="135" t="s">
        <v>585</v>
      </c>
      <c r="L24" s="49" t="s">
        <v>143</v>
      </c>
      <c r="M24" s="444">
        <f>J24*50%*2/1000</f>
        <v>847</v>
      </c>
      <c r="N24" s="591">
        <v>424</v>
      </c>
      <c r="O24" s="409">
        <v>423</v>
      </c>
      <c r="P24" s="412"/>
      <c r="Q24" s="412"/>
      <c r="R24" s="412"/>
      <c r="S24" s="412"/>
      <c r="T24" s="413"/>
      <c r="U24" s="2"/>
      <c r="V24" s="396">
        <f t="shared" si="3"/>
        <v>847</v>
      </c>
    </row>
    <row r="25" spans="1:22" ht="25.5" customHeight="1">
      <c r="A25" s="2"/>
      <c r="B25" s="47"/>
      <c r="C25" s="51"/>
      <c r="D25" s="56"/>
      <c r="E25" s="103"/>
      <c r="F25" s="104"/>
      <c r="G25" s="104"/>
      <c r="H25" s="69"/>
      <c r="I25" s="186" t="s">
        <v>581</v>
      </c>
      <c r="J25" s="250">
        <v>870000</v>
      </c>
      <c r="K25" s="135" t="s">
        <v>585</v>
      </c>
      <c r="L25" s="49" t="s">
        <v>143</v>
      </c>
      <c r="M25" s="444">
        <f>J25*50%*2/1000</f>
        <v>870</v>
      </c>
      <c r="N25" s="591">
        <v>435</v>
      </c>
      <c r="O25" s="409">
        <v>435</v>
      </c>
      <c r="P25" s="412"/>
      <c r="Q25" s="412"/>
      <c r="R25" s="412"/>
      <c r="S25" s="412"/>
      <c r="T25" s="413"/>
      <c r="U25" s="2"/>
      <c r="V25" s="396">
        <f t="shared" si="3"/>
        <v>870</v>
      </c>
    </row>
    <row r="26" spans="1:22" ht="25.5" customHeight="1">
      <c r="A26" s="2"/>
      <c r="B26" s="47"/>
      <c r="C26" s="51"/>
      <c r="D26" s="56"/>
      <c r="E26" s="103"/>
      <c r="F26" s="104"/>
      <c r="G26" s="104"/>
      <c r="H26" s="69"/>
      <c r="I26" s="186" t="s">
        <v>582</v>
      </c>
      <c r="J26" s="250">
        <v>801000</v>
      </c>
      <c r="K26" s="135" t="s">
        <v>586</v>
      </c>
      <c r="L26" s="49" t="s">
        <v>143</v>
      </c>
      <c r="M26" s="444">
        <f>J26*50%*4/1000</f>
        <v>1602</v>
      </c>
      <c r="N26" s="591">
        <v>801</v>
      </c>
      <c r="O26" s="409">
        <v>801</v>
      </c>
      <c r="P26" s="412"/>
      <c r="Q26" s="412"/>
      <c r="R26" s="412"/>
      <c r="S26" s="412"/>
      <c r="T26" s="413"/>
      <c r="U26" s="2"/>
      <c r="V26" s="396">
        <f t="shared" si="3"/>
        <v>1602</v>
      </c>
    </row>
    <row r="27" spans="1:22" ht="25.5" customHeight="1">
      <c r="A27" s="2"/>
      <c r="B27" s="47"/>
      <c r="C27" s="51"/>
      <c r="D27" s="222" t="s">
        <v>190</v>
      </c>
      <c r="E27" s="101">
        <f>M28</f>
        <v>8400</v>
      </c>
      <c r="F27" s="102">
        <v>0</v>
      </c>
      <c r="G27" s="102">
        <f>E27-F27</f>
        <v>8400</v>
      </c>
      <c r="H27" s="68">
        <v>0</v>
      </c>
      <c r="I27" s="188"/>
      <c r="J27" s="252"/>
      <c r="K27" s="136"/>
      <c r="L27" s="55"/>
      <c r="M27" s="442"/>
      <c r="N27" s="594"/>
      <c r="O27" s="409"/>
      <c r="P27" s="409"/>
      <c r="Q27" s="409"/>
      <c r="R27" s="409"/>
      <c r="S27" s="409"/>
      <c r="T27" s="410"/>
      <c r="U27" s="2"/>
      <c r="V27" s="396">
        <f t="shared" si="3"/>
        <v>0</v>
      </c>
    </row>
    <row r="28" spans="1:22" ht="25.5" customHeight="1">
      <c r="A28" s="2"/>
      <c r="B28" s="47"/>
      <c r="C28" s="51"/>
      <c r="D28" s="220" t="s">
        <v>191</v>
      </c>
      <c r="E28" s="103"/>
      <c r="F28" s="104"/>
      <c r="G28" s="104"/>
      <c r="H28" s="69"/>
      <c r="I28" s="189" t="s">
        <v>597</v>
      </c>
      <c r="J28" s="253">
        <v>700000</v>
      </c>
      <c r="K28" s="134" t="s">
        <v>598</v>
      </c>
      <c r="L28" s="49" t="s">
        <v>143</v>
      </c>
      <c r="M28" s="443">
        <f>J28*12/1000</f>
        <v>8400</v>
      </c>
      <c r="N28" s="425">
        <v>4200</v>
      </c>
      <c r="O28" s="406">
        <v>4200</v>
      </c>
      <c r="P28" s="406">
        <v>0</v>
      </c>
      <c r="Q28" s="406">
        <v>0</v>
      </c>
      <c r="R28" s="406">
        <v>0</v>
      </c>
      <c r="S28" s="406">
        <v>0</v>
      </c>
      <c r="T28" s="407">
        <v>0</v>
      </c>
      <c r="U28" s="2"/>
      <c r="V28" s="396">
        <f t="shared" si="3"/>
        <v>8400</v>
      </c>
    </row>
    <row r="29" spans="1:22" ht="25.5" customHeight="1">
      <c r="A29" s="2"/>
      <c r="B29" s="47"/>
      <c r="C29" s="51"/>
      <c r="D29" s="221"/>
      <c r="E29" s="105"/>
      <c r="F29" s="106"/>
      <c r="G29" s="106"/>
      <c r="H29" s="70"/>
      <c r="I29" s="190" t="s">
        <v>192</v>
      </c>
      <c r="J29" s="254"/>
      <c r="K29" s="135"/>
      <c r="L29" s="49"/>
      <c r="M29" s="444"/>
      <c r="N29" s="417"/>
      <c r="O29" s="415"/>
      <c r="P29" s="415"/>
      <c r="Q29" s="415"/>
      <c r="R29" s="415"/>
      <c r="S29" s="415"/>
      <c r="T29" s="416"/>
      <c r="U29" s="2"/>
      <c r="V29" s="396">
        <f t="shared" si="3"/>
        <v>0</v>
      </c>
    </row>
    <row r="30" spans="1:22" ht="25.5" customHeight="1">
      <c r="A30" s="2"/>
      <c r="B30" s="47"/>
      <c r="C30" s="51"/>
      <c r="D30" s="222" t="s">
        <v>173</v>
      </c>
      <c r="E30" s="101"/>
      <c r="F30" s="102"/>
      <c r="G30" s="102"/>
      <c r="H30" s="68"/>
      <c r="I30" s="187"/>
      <c r="J30" s="251"/>
      <c r="K30" s="136"/>
      <c r="L30" s="55"/>
      <c r="M30" s="442"/>
      <c r="N30" s="594"/>
      <c r="O30" s="409"/>
      <c r="P30" s="409"/>
      <c r="Q30" s="409"/>
      <c r="R30" s="409"/>
      <c r="S30" s="409"/>
      <c r="T30" s="410"/>
      <c r="U30" s="2"/>
      <c r="V30" s="396">
        <f t="shared" si="3"/>
        <v>0</v>
      </c>
    </row>
    <row r="31" spans="1:22" ht="25.5" customHeight="1">
      <c r="A31" s="2"/>
      <c r="B31" s="47"/>
      <c r="C31" s="51"/>
      <c r="D31" s="220" t="s">
        <v>193</v>
      </c>
      <c r="E31" s="103">
        <f>M31</f>
        <v>8419.5</v>
      </c>
      <c r="F31" s="104">
        <v>7228</v>
      </c>
      <c r="G31" s="104">
        <f>E31-F31</f>
        <v>1191.5</v>
      </c>
      <c r="H31" s="69">
        <f>G31/F31</f>
        <v>0.16484504703929165</v>
      </c>
      <c r="I31" s="239" t="s">
        <v>402</v>
      </c>
      <c r="J31" s="249"/>
      <c r="K31" s="134"/>
      <c r="L31" s="54"/>
      <c r="M31" s="443">
        <f aca="true" t="shared" si="8" ref="M31:T31">SUM(M32:M39)</f>
        <v>8419.5</v>
      </c>
      <c r="N31" s="591">
        <f t="shared" si="8"/>
        <v>1911</v>
      </c>
      <c r="O31" s="412">
        <f t="shared" si="8"/>
        <v>3709</v>
      </c>
      <c r="P31" s="412">
        <f t="shared" si="8"/>
        <v>1800</v>
      </c>
      <c r="Q31" s="412">
        <f t="shared" si="8"/>
        <v>0</v>
      </c>
      <c r="R31" s="412">
        <f t="shared" si="8"/>
        <v>0</v>
      </c>
      <c r="S31" s="412">
        <f t="shared" si="8"/>
        <v>1000</v>
      </c>
      <c r="T31" s="413">
        <f t="shared" si="8"/>
        <v>0</v>
      </c>
      <c r="U31" s="2"/>
      <c r="V31" s="396">
        <f t="shared" si="3"/>
        <v>8420</v>
      </c>
    </row>
    <row r="32" spans="1:22" ht="25.5" customHeight="1">
      <c r="A32" s="2"/>
      <c r="B32" s="47"/>
      <c r="C32" s="51"/>
      <c r="D32" s="56"/>
      <c r="E32" s="103"/>
      <c r="F32" s="104"/>
      <c r="G32" s="104"/>
      <c r="H32" s="69"/>
      <c r="I32" s="186" t="s">
        <v>588</v>
      </c>
      <c r="J32" s="250">
        <v>40000</v>
      </c>
      <c r="K32" s="135" t="s">
        <v>589</v>
      </c>
      <c r="L32" s="49" t="s">
        <v>143</v>
      </c>
      <c r="M32" s="444">
        <f>J32*2*12/1000</f>
        <v>960</v>
      </c>
      <c r="N32" s="404">
        <v>480</v>
      </c>
      <c r="O32" s="406">
        <v>480</v>
      </c>
      <c r="P32" s="406"/>
      <c r="Q32" s="406"/>
      <c r="R32" s="406"/>
      <c r="S32" s="406"/>
      <c r="T32" s="407"/>
      <c r="U32" s="2"/>
      <c r="V32" s="396">
        <f t="shared" si="3"/>
        <v>960</v>
      </c>
    </row>
    <row r="33" spans="1:22" ht="25.5" customHeight="1">
      <c r="A33" s="2"/>
      <c r="B33" s="47"/>
      <c r="C33" s="51"/>
      <c r="D33" s="220"/>
      <c r="E33" s="103"/>
      <c r="F33" s="104"/>
      <c r="G33" s="104"/>
      <c r="H33" s="69"/>
      <c r="I33" s="186" t="s">
        <v>590</v>
      </c>
      <c r="J33" s="250">
        <v>847000</v>
      </c>
      <c r="K33" s="135" t="s">
        <v>406</v>
      </c>
      <c r="L33" s="49" t="s">
        <v>143</v>
      </c>
      <c r="M33" s="444">
        <f>J33*50%/1000</f>
        <v>423.5</v>
      </c>
      <c r="N33" s="414">
        <v>212</v>
      </c>
      <c r="O33" s="415">
        <v>212</v>
      </c>
      <c r="P33" s="415"/>
      <c r="Q33" s="415"/>
      <c r="R33" s="415"/>
      <c r="S33" s="415"/>
      <c r="T33" s="416"/>
      <c r="U33" s="2"/>
      <c r="V33" s="396">
        <f t="shared" si="3"/>
        <v>424</v>
      </c>
    </row>
    <row r="34" spans="1:22" ht="25.5" customHeight="1">
      <c r="A34" s="2"/>
      <c r="B34" s="47"/>
      <c r="C34" s="51"/>
      <c r="D34" s="220"/>
      <c r="E34" s="103"/>
      <c r="F34" s="104"/>
      <c r="G34" s="104"/>
      <c r="H34" s="69"/>
      <c r="I34" s="186" t="s">
        <v>591</v>
      </c>
      <c r="J34" s="250">
        <v>870000</v>
      </c>
      <c r="K34" s="135" t="s">
        <v>406</v>
      </c>
      <c r="L34" s="49" t="s">
        <v>143</v>
      </c>
      <c r="M34" s="444">
        <f>J34*50%/1000</f>
        <v>435</v>
      </c>
      <c r="N34" s="414">
        <v>218</v>
      </c>
      <c r="O34" s="415">
        <v>217</v>
      </c>
      <c r="P34" s="415"/>
      <c r="Q34" s="415"/>
      <c r="R34" s="415"/>
      <c r="S34" s="415"/>
      <c r="T34" s="416"/>
      <c r="U34" s="2"/>
      <c r="V34" s="396">
        <f t="shared" si="3"/>
        <v>435</v>
      </c>
    </row>
    <row r="35" spans="1:22" ht="25.5" customHeight="1">
      <c r="A35" s="2"/>
      <c r="B35" s="47"/>
      <c r="C35" s="51"/>
      <c r="D35" s="220"/>
      <c r="E35" s="103"/>
      <c r="F35" s="104"/>
      <c r="G35" s="104"/>
      <c r="H35" s="69"/>
      <c r="I35" s="186" t="s">
        <v>592</v>
      </c>
      <c r="J35" s="250">
        <v>801000</v>
      </c>
      <c r="K35" s="137" t="s">
        <v>522</v>
      </c>
      <c r="L35" s="49" t="s">
        <v>143</v>
      </c>
      <c r="M35" s="444">
        <f>J35*50%*2/1000</f>
        <v>801</v>
      </c>
      <c r="N35" s="414">
        <v>401</v>
      </c>
      <c r="O35" s="415">
        <v>400</v>
      </c>
      <c r="P35" s="415"/>
      <c r="Q35" s="415"/>
      <c r="R35" s="415"/>
      <c r="S35" s="415"/>
      <c r="T35" s="416"/>
      <c r="U35" s="2"/>
      <c r="V35" s="396">
        <f t="shared" si="3"/>
        <v>801</v>
      </c>
    </row>
    <row r="36" spans="1:22" ht="25.5" customHeight="1">
      <c r="A36" s="2"/>
      <c r="B36" s="47"/>
      <c r="C36" s="51"/>
      <c r="D36" s="220"/>
      <c r="E36" s="103"/>
      <c r="F36" s="104"/>
      <c r="G36" s="104"/>
      <c r="H36" s="69"/>
      <c r="I36" s="186" t="s">
        <v>593</v>
      </c>
      <c r="J36" s="250">
        <v>50000</v>
      </c>
      <c r="K36" s="137" t="s">
        <v>391</v>
      </c>
      <c r="L36" s="49" t="s">
        <v>143</v>
      </c>
      <c r="M36" s="444">
        <f>J36*12/1000</f>
        <v>600</v>
      </c>
      <c r="N36" s="414">
        <v>300</v>
      </c>
      <c r="O36" s="415">
        <v>300</v>
      </c>
      <c r="P36" s="415"/>
      <c r="Q36" s="415"/>
      <c r="R36" s="415"/>
      <c r="S36" s="415"/>
      <c r="T36" s="416"/>
      <c r="U36" s="2"/>
      <c r="V36" s="396">
        <f t="shared" si="3"/>
        <v>600</v>
      </c>
    </row>
    <row r="37" spans="1:22" ht="25.5" customHeight="1">
      <c r="A37" s="2"/>
      <c r="B37" s="47"/>
      <c r="C37" s="51"/>
      <c r="D37" s="220"/>
      <c r="E37" s="103"/>
      <c r="F37" s="104"/>
      <c r="G37" s="104"/>
      <c r="H37" s="69"/>
      <c r="I37" s="185" t="s">
        <v>594</v>
      </c>
      <c r="J37" s="249">
        <v>50000</v>
      </c>
      <c r="K37" s="662" t="s">
        <v>391</v>
      </c>
      <c r="L37" s="54" t="s">
        <v>143</v>
      </c>
      <c r="M37" s="443">
        <f>J37*12/1000</f>
        <v>600</v>
      </c>
      <c r="N37" s="414">
        <v>300</v>
      </c>
      <c r="O37" s="415">
        <v>300</v>
      </c>
      <c r="P37" s="415"/>
      <c r="Q37" s="415"/>
      <c r="R37" s="415"/>
      <c r="S37" s="415"/>
      <c r="T37" s="416"/>
      <c r="U37" s="2"/>
      <c r="V37" s="396">
        <f t="shared" si="3"/>
        <v>600</v>
      </c>
    </row>
    <row r="38" spans="1:22" ht="25.5" customHeight="1">
      <c r="A38" s="2"/>
      <c r="B38" s="47"/>
      <c r="C38" s="51"/>
      <c r="D38" s="220"/>
      <c r="E38" s="103"/>
      <c r="F38" s="104"/>
      <c r="G38" s="104"/>
      <c r="H38" s="69"/>
      <c r="I38" s="186" t="s">
        <v>595</v>
      </c>
      <c r="J38" s="250">
        <v>100000</v>
      </c>
      <c r="K38" s="135" t="s">
        <v>485</v>
      </c>
      <c r="L38" s="49" t="s">
        <v>143</v>
      </c>
      <c r="M38" s="444">
        <f>J38*3*12/1000</f>
        <v>3600</v>
      </c>
      <c r="N38" s="414"/>
      <c r="O38" s="415">
        <v>1800</v>
      </c>
      <c r="P38" s="415">
        <v>1800</v>
      </c>
      <c r="Q38" s="415"/>
      <c r="R38" s="415"/>
      <c r="S38" s="415"/>
      <c r="T38" s="416"/>
      <c r="U38" s="2"/>
      <c r="V38" s="396">
        <f t="shared" si="3"/>
        <v>3600</v>
      </c>
    </row>
    <row r="39" spans="1:22" ht="25.5" customHeight="1">
      <c r="A39" s="2"/>
      <c r="B39" s="47"/>
      <c r="C39" s="51"/>
      <c r="D39" s="220"/>
      <c r="E39" s="103"/>
      <c r="F39" s="104"/>
      <c r="G39" s="106"/>
      <c r="H39" s="70"/>
      <c r="I39" s="186" t="s">
        <v>596</v>
      </c>
      <c r="J39" s="263" t="s">
        <v>412</v>
      </c>
      <c r="K39" s="135" t="s">
        <v>413</v>
      </c>
      <c r="L39" s="49" t="s">
        <v>143</v>
      </c>
      <c r="M39" s="444">
        <f>1000000/1000</f>
        <v>1000</v>
      </c>
      <c r="N39" s="414"/>
      <c r="O39" s="415"/>
      <c r="P39" s="415"/>
      <c r="Q39" s="415"/>
      <c r="R39" s="415"/>
      <c r="S39" s="415">
        <v>1000</v>
      </c>
      <c r="T39" s="416"/>
      <c r="U39" s="2"/>
      <c r="V39" s="396">
        <f t="shared" si="3"/>
        <v>1000</v>
      </c>
    </row>
    <row r="40" spans="1:22" ht="25.5" customHeight="1">
      <c r="A40" s="2"/>
      <c r="B40" s="47"/>
      <c r="C40" s="51"/>
      <c r="D40" s="222" t="s">
        <v>144</v>
      </c>
      <c r="E40" s="101">
        <f>M41</f>
        <v>3914.8416666666667</v>
      </c>
      <c r="F40" s="102">
        <v>5204</v>
      </c>
      <c r="G40" s="313">
        <f>E40-F40</f>
        <v>-1289.1583333333333</v>
      </c>
      <c r="H40" s="314">
        <f>G40/F40</f>
        <v>-0.24772450678964897</v>
      </c>
      <c r="I40" s="187"/>
      <c r="J40" s="251"/>
      <c r="K40" s="136"/>
      <c r="L40" s="55"/>
      <c r="M40" s="442"/>
      <c r="N40" s="417"/>
      <c r="O40" s="415"/>
      <c r="P40" s="415"/>
      <c r="Q40" s="415"/>
      <c r="R40" s="415"/>
      <c r="S40" s="415"/>
      <c r="T40" s="416"/>
      <c r="U40" s="2"/>
      <c r="V40" s="396">
        <f t="shared" si="3"/>
        <v>0</v>
      </c>
    </row>
    <row r="41" spans="1:22" ht="25.5" customHeight="1">
      <c r="A41" s="2"/>
      <c r="B41" s="449"/>
      <c r="C41" s="52"/>
      <c r="D41" s="223" t="s">
        <v>145</v>
      </c>
      <c r="E41" s="109"/>
      <c r="F41" s="110"/>
      <c r="G41" s="110"/>
      <c r="H41" s="72"/>
      <c r="I41" s="544" t="s">
        <v>417</v>
      </c>
      <c r="J41" s="272"/>
      <c r="K41" s="546"/>
      <c r="L41" s="308"/>
      <c r="M41" s="448">
        <f>SUM(M42:M42)</f>
        <v>3914.8416666666667</v>
      </c>
      <c r="N41" s="550">
        <f aca="true" t="shared" si="9" ref="N41:T41">N42</f>
        <v>0</v>
      </c>
      <c r="O41" s="550">
        <f t="shared" si="9"/>
        <v>0</v>
      </c>
      <c r="P41" s="550">
        <f t="shared" si="9"/>
        <v>0</v>
      </c>
      <c r="Q41" s="550">
        <f t="shared" si="9"/>
        <v>0</v>
      </c>
      <c r="R41" s="550">
        <f t="shared" si="9"/>
        <v>0</v>
      </c>
      <c r="S41" s="550">
        <f t="shared" si="9"/>
        <v>3915</v>
      </c>
      <c r="T41" s="665">
        <f t="shared" si="9"/>
        <v>0</v>
      </c>
      <c r="U41" s="2"/>
      <c r="V41" s="396">
        <f t="shared" si="3"/>
        <v>3915</v>
      </c>
    </row>
    <row r="42" spans="1:22" ht="25.5" customHeight="1">
      <c r="A42" s="2"/>
      <c r="B42" s="451"/>
      <c r="C42" s="57"/>
      <c r="D42" s="231"/>
      <c r="E42" s="304"/>
      <c r="F42" s="305"/>
      <c r="G42" s="305"/>
      <c r="H42" s="510"/>
      <c r="I42" s="306" t="s">
        <v>415</v>
      </c>
      <c r="J42" s="307">
        <f>M10+M15+M19+M23+M28+M31+M51+M52-M39</f>
        <v>46978.1</v>
      </c>
      <c r="K42" s="309" t="s">
        <v>423</v>
      </c>
      <c r="L42" s="242" t="s">
        <v>143</v>
      </c>
      <c r="M42" s="514">
        <f>J42*1/12</f>
        <v>3914.8416666666667</v>
      </c>
      <c r="N42" s="515">
        <v>0</v>
      </c>
      <c r="O42" s="469">
        <v>0</v>
      </c>
      <c r="P42" s="469"/>
      <c r="Q42" s="469"/>
      <c r="R42" s="469"/>
      <c r="S42" s="469">
        <v>3915</v>
      </c>
      <c r="T42" s="470"/>
      <c r="U42" s="2"/>
      <c r="V42" s="396"/>
    </row>
    <row r="43" spans="1:22" ht="25.5" customHeight="1">
      <c r="A43" s="2"/>
      <c r="B43" s="47"/>
      <c r="C43" s="51"/>
      <c r="D43" s="222" t="s">
        <v>146</v>
      </c>
      <c r="E43" s="101">
        <f>M44</f>
        <v>3863.948725</v>
      </c>
      <c r="F43" s="102">
        <v>2938</v>
      </c>
      <c r="G43" s="102">
        <f>E43-F43</f>
        <v>925.9487250000002</v>
      </c>
      <c r="H43" s="68">
        <f>G43/F43</f>
        <v>0.3151629424778762</v>
      </c>
      <c r="I43" s="187"/>
      <c r="J43" s="251"/>
      <c r="K43" s="136"/>
      <c r="L43" s="55"/>
      <c r="M43" s="442"/>
      <c r="N43" s="594"/>
      <c r="O43" s="409"/>
      <c r="P43" s="409"/>
      <c r="Q43" s="409"/>
      <c r="R43" s="409"/>
      <c r="S43" s="409"/>
      <c r="T43" s="410"/>
      <c r="U43" s="2"/>
      <c r="V43" s="396"/>
    </row>
    <row r="44" spans="1:22" ht="25.5" customHeight="1">
      <c r="A44" s="2"/>
      <c r="B44" s="47"/>
      <c r="C44" s="51"/>
      <c r="D44" s="220" t="s">
        <v>147</v>
      </c>
      <c r="E44" s="103"/>
      <c r="F44" s="104"/>
      <c r="G44" s="104"/>
      <c r="H44" s="69"/>
      <c r="I44" s="238" t="s">
        <v>416</v>
      </c>
      <c r="J44" s="255"/>
      <c r="K44" s="140"/>
      <c r="L44" s="28"/>
      <c r="M44" s="534">
        <f>SUM(M45:M48)</f>
        <v>3863.948725</v>
      </c>
      <c r="N44" s="591">
        <v>0</v>
      </c>
      <c r="O44" s="412">
        <v>0</v>
      </c>
      <c r="P44" s="412">
        <v>0</v>
      </c>
      <c r="Q44" s="412">
        <v>0</v>
      </c>
      <c r="R44" s="412">
        <v>0</v>
      </c>
      <c r="S44" s="412">
        <f>S45+S46+S47+S48</f>
        <v>3864</v>
      </c>
      <c r="T44" s="413">
        <v>0</v>
      </c>
      <c r="U44" s="2"/>
      <c r="V44" s="396">
        <f t="shared" si="3"/>
        <v>3864</v>
      </c>
    </row>
    <row r="45" spans="1:22" ht="25.5" customHeight="1">
      <c r="A45" s="2"/>
      <c r="B45" s="47"/>
      <c r="C45" s="51"/>
      <c r="D45" s="56"/>
      <c r="E45" s="103"/>
      <c r="F45" s="104"/>
      <c r="G45" s="104"/>
      <c r="H45" s="69"/>
      <c r="I45" s="185" t="s">
        <v>639</v>
      </c>
      <c r="J45" s="249">
        <f>M10+M15+M19+M23+M28+M31+M51+M52-M39</f>
        <v>46978.1</v>
      </c>
      <c r="K45" s="134" t="s">
        <v>424</v>
      </c>
      <c r="L45" s="54" t="s">
        <v>143</v>
      </c>
      <c r="M45" s="443">
        <f>J45*2.385%</f>
        <v>1120.4276849999999</v>
      </c>
      <c r="N45" s="425">
        <v>0</v>
      </c>
      <c r="O45" s="406">
        <v>0</v>
      </c>
      <c r="P45" s="406">
        <v>0</v>
      </c>
      <c r="Q45" s="406">
        <v>0</v>
      </c>
      <c r="R45" s="406">
        <v>0</v>
      </c>
      <c r="S45" s="406">
        <v>1120</v>
      </c>
      <c r="T45" s="407">
        <v>0</v>
      </c>
      <c r="U45" s="2"/>
      <c r="V45" s="396">
        <f t="shared" si="3"/>
        <v>1120</v>
      </c>
    </row>
    <row r="46" spans="1:22" ht="25.5" customHeight="1">
      <c r="A46" s="2"/>
      <c r="B46" s="47"/>
      <c r="C46" s="51"/>
      <c r="D46" s="220"/>
      <c r="E46" s="103"/>
      <c r="F46" s="104"/>
      <c r="G46" s="104"/>
      <c r="H46" s="69"/>
      <c r="I46" s="186" t="s">
        <v>600</v>
      </c>
      <c r="J46" s="249">
        <f>M10+M15+M19+M23+M28+M31+M51+M52-M39</f>
        <v>46978.1</v>
      </c>
      <c r="K46" s="135" t="s">
        <v>425</v>
      </c>
      <c r="L46" s="49" t="s">
        <v>143</v>
      </c>
      <c r="M46" s="444">
        <f>J46*4.5%</f>
        <v>2114.0144999999998</v>
      </c>
      <c r="N46" s="417">
        <v>0</v>
      </c>
      <c r="O46" s="415">
        <v>0</v>
      </c>
      <c r="P46" s="415">
        <v>0</v>
      </c>
      <c r="Q46" s="415">
        <v>0</v>
      </c>
      <c r="R46" s="415">
        <v>0</v>
      </c>
      <c r="S46" s="406">
        <v>2114</v>
      </c>
      <c r="T46" s="416">
        <v>0</v>
      </c>
      <c r="U46" s="2"/>
      <c r="V46" s="396">
        <f t="shared" si="3"/>
        <v>2114</v>
      </c>
    </row>
    <row r="47" spans="1:22" ht="25.5" customHeight="1">
      <c r="A47" s="2"/>
      <c r="B47" s="47"/>
      <c r="C47" s="51"/>
      <c r="D47" s="220"/>
      <c r="E47" s="103"/>
      <c r="F47" s="104"/>
      <c r="G47" s="104"/>
      <c r="H47" s="69"/>
      <c r="I47" s="186" t="s">
        <v>419</v>
      </c>
      <c r="J47" s="250">
        <f>M10+M15+M19+M23+M28+M31+M51+M52-M39</f>
        <v>46978.1</v>
      </c>
      <c r="K47" s="135" t="s">
        <v>426</v>
      </c>
      <c r="L47" s="49" t="s">
        <v>143</v>
      </c>
      <c r="M47" s="447">
        <f>J47*0.7%</f>
        <v>328.84669999999994</v>
      </c>
      <c r="N47" s="417">
        <v>0</v>
      </c>
      <c r="O47" s="415">
        <v>0</v>
      </c>
      <c r="P47" s="415">
        <v>0</v>
      </c>
      <c r="Q47" s="415">
        <v>0</v>
      </c>
      <c r="R47" s="415">
        <v>0</v>
      </c>
      <c r="S47" s="406">
        <v>329</v>
      </c>
      <c r="T47" s="416">
        <v>0</v>
      </c>
      <c r="U47" s="2"/>
      <c r="V47" s="396">
        <f t="shared" si="3"/>
        <v>329</v>
      </c>
    </row>
    <row r="48" spans="1:22" ht="25.5" customHeight="1">
      <c r="A48" s="2"/>
      <c r="B48" s="47"/>
      <c r="C48" s="51"/>
      <c r="D48" s="220"/>
      <c r="E48" s="103"/>
      <c r="F48" s="104"/>
      <c r="G48" s="104"/>
      <c r="H48" s="69"/>
      <c r="I48" s="186" t="s">
        <v>640</v>
      </c>
      <c r="J48" s="250">
        <f>M10+M15+M19+M23+M28+M31+M51+M52-M39</f>
        <v>46978.1</v>
      </c>
      <c r="K48" s="135" t="s">
        <v>427</v>
      </c>
      <c r="L48" s="49" t="s">
        <v>143</v>
      </c>
      <c r="M48" s="444">
        <f>J48*0.64%</f>
        <v>300.65984000000003</v>
      </c>
      <c r="N48" s="417">
        <v>0</v>
      </c>
      <c r="O48" s="415">
        <v>0</v>
      </c>
      <c r="P48" s="415">
        <v>0</v>
      </c>
      <c r="Q48" s="415">
        <v>0</v>
      </c>
      <c r="R48" s="415">
        <v>0</v>
      </c>
      <c r="S48" s="406">
        <v>301</v>
      </c>
      <c r="T48" s="416">
        <v>0</v>
      </c>
      <c r="U48" s="2"/>
      <c r="V48" s="396">
        <f t="shared" si="3"/>
        <v>301</v>
      </c>
    </row>
    <row r="49" spans="1:22" ht="25.5" customHeight="1">
      <c r="A49" s="2"/>
      <c r="B49" s="47"/>
      <c r="C49" s="51"/>
      <c r="D49" s="222" t="s">
        <v>148</v>
      </c>
      <c r="E49" s="101">
        <f>M50</f>
        <v>2400</v>
      </c>
      <c r="F49" s="102">
        <v>2400</v>
      </c>
      <c r="G49" s="102">
        <f>E49-F49</f>
        <v>0</v>
      </c>
      <c r="H49" s="68">
        <f>G49/F49</f>
        <v>0</v>
      </c>
      <c r="I49" s="187"/>
      <c r="J49" s="251"/>
      <c r="K49" s="136"/>
      <c r="L49" s="55"/>
      <c r="M49" s="442"/>
      <c r="N49" s="417"/>
      <c r="O49" s="415"/>
      <c r="P49" s="415"/>
      <c r="Q49" s="415"/>
      <c r="R49" s="415"/>
      <c r="S49" s="415"/>
      <c r="T49" s="416"/>
      <c r="U49" s="2"/>
      <c r="V49" s="396"/>
    </row>
    <row r="50" spans="1:22" ht="25.5" customHeight="1">
      <c r="A50" s="2"/>
      <c r="B50" s="47"/>
      <c r="C50" s="51"/>
      <c r="D50" s="220" t="s">
        <v>149</v>
      </c>
      <c r="E50" s="103"/>
      <c r="F50" s="104"/>
      <c r="G50" s="104"/>
      <c r="H50" s="69"/>
      <c r="I50" s="239" t="s">
        <v>418</v>
      </c>
      <c r="J50" s="256"/>
      <c r="K50" s="134"/>
      <c r="L50" s="54"/>
      <c r="M50" s="536">
        <f>SUM(M51:M52)</f>
        <v>2400</v>
      </c>
      <c r="N50" s="417">
        <f aca="true" t="shared" si="10" ref="N50:T50">N51+N52</f>
        <v>725</v>
      </c>
      <c r="O50" s="415">
        <f t="shared" si="10"/>
        <v>731</v>
      </c>
      <c r="P50" s="415">
        <f t="shared" si="10"/>
        <v>0</v>
      </c>
      <c r="Q50" s="415">
        <f t="shared" si="10"/>
        <v>0</v>
      </c>
      <c r="R50" s="415">
        <f t="shared" si="10"/>
        <v>0</v>
      </c>
      <c r="S50" s="415">
        <f t="shared" si="10"/>
        <v>944</v>
      </c>
      <c r="T50" s="416">
        <f t="shared" si="10"/>
        <v>0</v>
      </c>
      <c r="U50" s="2"/>
      <c r="V50" s="396">
        <f t="shared" si="3"/>
        <v>2400</v>
      </c>
    </row>
    <row r="51" spans="1:22" ht="25.5" customHeight="1">
      <c r="A51" s="2"/>
      <c r="B51" s="47"/>
      <c r="C51" s="51"/>
      <c r="D51" s="225"/>
      <c r="E51" s="103"/>
      <c r="F51" s="104"/>
      <c r="G51" s="104"/>
      <c r="H51" s="69"/>
      <c r="I51" s="185" t="s">
        <v>421</v>
      </c>
      <c r="J51" s="249">
        <v>50000</v>
      </c>
      <c r="K51" s="134" t="s">
        <v>484</v>
      </c>
      <c r="L51" s="54" t="s">
        <v>143</v>
      </c>
      <c r="M51" s="443">
        <f>J51*2*12/1000</f>
        <v>1200</v>
      </c>
      <c r="N51" s="417">
        <v>600</v>
      </c>
      <c r="O51" s="415">
        <v>600</v>
      </c>
      <c r="P51" s="415">
        <v>0</v>
      </c>
      <c r="Q51" s="415">
        <v>0</v>
      </c>
      <c r="R51" s="415">
        <v>0</v>
      </c>
      <c r="S51" s="415">
        <v>0</v>
      </c>
      <c r="T51" s="416">
        <v>0</v>
      </c>
      <c r="U51" s="2"/>
      <c r="V51" s="396">
        <f t="shared" si="3"/>
        <v>1200</v>
      </c>
    </row>
    <row r="52" spans="1:22" ht="25.5" customHeight="1">
      <c r="A52" s="2"/>
      <c r="B52" s="47"/>
      <c r="C52" s="51"/>
      <c r="D52" s="225"/>
      <c r="E52" s="103"/>
      <c r="F52" s="104"/>
      <c r="G52" s="104"/>
      <c r="H52" s="69"/>
      <c r="I52" s="186" t="s">
        <v>420</v>
      </c>
      <c r="J52" s="250">
        <v>50000</v>
      </c>
      <c r="K52" s="135" t="s">
        <v>484</v>
      </c>
      <c r="L52" s="49" t="s">
        <v>143</v>
      </c>
      <c r="M52" s="444">
        <f>J52*2*12/1000</f>
        <v>1200</v>
      </c>
      <c r="N52" s="417">
        <v>125</v>
      </c>
      <c r="O52" s="415">
        <v>131</v>
      </c>
      <c r="P52" s="415">
        <v>0</v>
      </c>
      <c r="Q52" s="415">
        <v>0</v>
      </c>
      <c r="R52" s="415">
        <v>0</v>
      </c>
      <c r="S52" s="415">
        <v>944</v>
      </c>
      <c r="T52" s="416">
        <v>0</v>
      </c>
      <c r="U52" s="2"/>
      <c r="V52" s="396">
        <f t="shared" si="3"/>
        <v>1200</v>
      </c>
    </row>
    <row r="53" spans="1:22" ht="25.5" customHeight="1">
      <c r="A53" s="2"/>
      <c r="B53" s="47"/>
      <c r="C53" s="688" t="s">
        <v>211</v>
      </c>
      <c r="D53" s="689"/>
      <c r="E53" s="99">
        <f>E54+E58+E61</f>
        <v>200</v>
      </c>
      <c r="F53" s="99">
        <f>F54+F58+F61</f>
        <v>0</v>
      </c>
      <c r="G53" s="100">
        <f>E53-F53</f>
        <v>200</v>
      </c>
      <c r="H53" s="67">
        <v>0</v>
      </c>
      <c r="I53" s="183"/>
      <c r="J53" s="247"/>
      <c r="K53" s="132"/>
      <c r="L53" s="62"/>
      <c r="M53" s="441">
        <f>M55+M59+M62</f>
        <v>200</v>
      </c>
      <c r="N53" s="657">
        <v>0</v>
      </c>
      <c r="O53" s="99">
        <f>O54+O58+O61</f>
        <v>0</v>
      </c>
      <c r="P53" s="99">
        <f>P54+P58+P61</f>
        <v>0</v>
      </c>
      <c r="Q53" s="99">
        <f>Q54+Q58+Q61</f>
        <v>0</v>
      </c>
      <c r="R53" s="99">
        <f>R54+R58+R61</f>
        <v>0</v>
      </c>
      <c r="S53" s="99">
        <f>S54+S58+S61</f>
        <v>0</v>
      </c>
      <c r="T53" s="481">
        <f>T55+T59+T62</f>
        <v>200</v>
      </c>
      <c r="U53" s="2"/>
      <c r="V53" s="396">
        <f t="shared" si="3"/>
        <v>200</v>
      </c>
    </row>
    <row r="54" spans="1:22" ht="25.5" customHeight="1">
      <c r="A54" s="2"/>
      <c r="B54" s="47"/>
      <c r="C54" s="51"/>
      <c r="D54" s="219" t="s">
        <v>174</v>
      </c>
      <c r="E54" s="103">
        <f>M55</f>
        <v>0</v>
      </c>
      <c r="F54" s="104">
        <v>0</v>
      </c>
      <c r="G54" s="104"/>
      <c r="H54" s="69"/>
      <c r="I54" s="240"/>
      <c r="J54" s="257"/>
      <c r="K54" s="133"/>
      <c r="L54" s="61"/>
      <c r="M54" s="446"/>
      <c r="N54" s="593"/>
      <c r="O54" s="419"/>
      <c r="P54" s="419"/>
      <c r="Q54" s="419"/>
      <c r="R54" s="419"/>
      <c r="S54" s="419"/>
      <c r="T54" s="420"/>
      <c r="U54" s="2"/>
      <c r="V54" s="396">
        <f t="shared" si="3"/>
        <v>0</v>
      </c>
    </row>
    <row r="55" spans="1:22" ht="25.5" customHeight="1">
      <c r="A55" s="2"/>
      <c r="B55" s="47"/>
      <c r="C55" s="51"/>
      <c r="D55" s="220" t="s">
        <v>428</v>
      </c>
      <c r="E55" s="103"/>
      <c r="F55" s="104"/>
      <c r="G55" s="104"/>
      <c r="H55" s="69"/>
      <c r="I55" s="239" t="s">
        <v>195</v>
      </c>
      <c r="J55" s="249"/>
      <c r="K55" s="134"/>
      <c r="L55" s="54"/>
      <c r="M55" s="536">
        <f>SUM(M56:M57)</f>
        <v>0</v>
      </c>
      <c r="N55" s="425"/>
      <c r="O55" s="406"/>
      <c r="P55" s="406"/>
      <c r="Q55" s="406"/>
      <c r="R55" s="406"/>
      <c r="S55" s="406"/>
      <c r="T55" s="407"/>
      <c r="U55" s="2"/>
      <c r="V55" s="396">
        <f t="shared" si="3"/>
        <v>0</v>
      </c>
    </row>
    <row r="56" spans="1:22" ht="25.5" customHeight="1">
      <c r="A56" s="2"/>
      <c r="B56" s="47"/>
      <c r="C56" s="51"/>
      <c r="D56" s="220"/>
      <c r="E56" s="103"/>
      <c r="F56" s="104"/>
      <c r="G56" s="104"/>
      <c r="H56" s="69"/>
      <c r="I56" s="185"/>
      <c r="J56" s="249"/>
      <c r="K56" s="134"/>
      <c r="L56" s="49"/>
      <c r="M56" s="443"/>
      <c r="N56" s="425"/>
      <c r="O56" s="406"/>
      <c r="P56" s="406"/>
      <c r="Q56" s="406"/>
      <c r="R56" s="406"/>
      <c r="S56" s="406"/>
      <c r="T56" s="407"/>
      <c r="U56" s="2"/>
      <c r="V56" s="396"/>
    </row>
    <row r="57" spans="1:22" ht="25.5" customHeight="1">
      <c r="A57" s="2"/>
      <c r="B57" s="47"/>
      <c r="C57" s="51"/>
      <c r="D57" s="221"/>
      <c r="E57" s="105"/>
      <c r="F57" s="106"/>
      <c r="G57" s="106"/>
      <c r="H57" s="70"/>
      <c r="I57" s="186"/>
      <c r="J57" s="250"/>
      <c r="K57" s="135"/>
      <c r="L57" s="49"/>
      <c r="M57" s="444"/>
      <c r="N57" s="417"/>
      <c r="O57" s="415"/>
      <c r="P57" s="415"/>
      <c r="Q57" s="415"/>
      <c r="R57" s="415"/>
      <c r="S57" s="415"/>
      <c r="T57" s="416"/>
      <c r="U57" s="2"/>
      <c r="V57" s="396">
        <f t="shared" si="3"/>
        <v>0</v>
      </c>
    </row>
    <row r="58" spans="1:22" ht="25.5" customHeight="1">
      <c r="A58" s="2"/>
      <c r="B58" s="47"/>
      <c r="C58" s="51"/>
      <c r="D58" s="222" t="s">
        <v>196</v>
      </c>
      <c r="E58" s="101">
        <f>M59</f>
        <v>0</v>
      </c>
      <c r="F58" s="102">
        <v>0</v>
      </c>
      <c r="G58" s="102">
        <v>0</v>
      </c>
      <c r="H58" s="68">
        <v>0</v>
      </c>
      <c r="I58" s="238"/>
      <c r="J58" s="255"/>
      <c r="K58" s="140"/>
      <c r="L58" s="28"/>
      <c r="M58" s="447"/>
      <c r="N58" s="594"/>
      <c r="O58" s="409"/>
      <c r="P58" s="409"/>
      <c r="Q58" s="409"/>
      <c r="R58" s="409"/>
      <c r="S58" s="409"/>
      <c r="T58" s="410"/>
      <c r="U58" s="2"/>
      <c r="V58" s="396">
        <f t="shared" si="3"/>
        <v>0</v>
      </c>
    </row>
    <row r="59" spans="1:22" ht="25.5" customHeight="1">
      <c r="A59" s="2"/>
      <c r="B59" s="47"/>
      <c r="C59" s="51"/>
      <c r="D59" s="219"/>
      <c r="E59" s="103"/>
      <c r="F59" s="104"/>
      <c r="G59" s="104"/>
      <c r="H59" s="69"/>
      <c r="I59" s="238" t="s">
        <v>432</v>
      </c>
      <c r="J59" s="255"/>
      <c r="K59" s="140"/>
      <c r="L59" s="28"/>
      <c r="M59" s="534">
        <f>SUM(M60)</f>
        <v>0</v>
      </c>
      <c r="N59" s="591"/>
      <c r="O59" s="412"/>
      <c r="P59" s="412"/>
      <c r="Q59" s="412"/>
      <c r="R59" s="412"/>
      <c r="S59" s="412"/>
      <c r="T59" s="413"/>
      <c r="U59" s="2"/>
      <c r="V59" s="396"/>
    </row>
    <row r="60" spans="1:22" ht="25.5" customHeight="1">
      <c r="A60" s="2"/>
      <c r="B60" s="47"/>
      <c r="C60" s="51"/>
      <c r="D60" s="221" t="s">
        <v>150</v>
      </c>
      <c r="E60" s="105"/>
      <c r="F60" s="106"/>
      <c r="G60" s="106"/>
      <c r="H60" s="70"/>
      <c r="I60" s="185"/>
      <c r="J60" s="249"/>
      <c r="K60" s="134"/>
      <c r="L60" s="54"/>
      <c r="M60" s="443"/>
      <c r="N60" s="425"/>
      <c r="O60" s="406"/>
      <c r="P60" s="406"/>
      <c r="Q60" s="406"/>
      <c r="R60" s="406"/>
      <c r="S60" s="406"/>
      <c r="T60" s="407"/>
      <c r="U60" s="2"/>
      <c r="V60" s="396">
        <f t="shared" si="3"/>
        <v>0</v>
      </c>
    </row>
    <row r="61" spans="1:22" ht="25.5" customHeight="1">
      <c r="A61" s="2"/>
      <c r="B61" s="449"/>
      <c r="C61" s="52"/>
      <c r="D61" s="635" t="s">
        <v>197</v>
      </c>
      <c r="E61" s="636">
        <f>M62</f>
        <v>200</v>
      </c>
      <c r="F61" s="637">
        <v>0</v>
      </c>
      <c r="G61" s="637">
        <f>E61-F61</f>
        <v>200</v>
      </c>
      <c r="H61" s="666">
        <v>0</v>
      </c>
      <c r="I61" s="544"/>
      <c r="J61" s="545"/>
      <c r="K61" s="546"/>
      <c r="L61" s="308"/>
      <c r="M61" s="448"/>
      <c r="N61" s="550"/>
      <c r="O61" s="432"/>
      <c r="P61" s="432"/>
      <c r="Q61" s="432"/>
      <c r="R61" s="432"/>
      <c r="S61" s="432"/>
      <c r="T61" s="433"/>
      <c r="U61" s="2"/>
      <c r="V61" s="396">
        <f t="shared" si="3"/>
        <v>0</v>
      </c>
    </row>
    <row r="62" spans="1:22" ht="25.5" customHeight="1">
      <c r="A62" s="2"/>
      <c r="B62" s="451"/>
      <c r="C62" s="57"/>
      <c r="D62" s="303" t="s">
        <v>151</v>
      </c>
      <c r="E62" s="304"/>
      <c r="F62" s="305"/>
      <c r="G62" s="305"/>
      <c r="H62" s="510"/>
      <c r="I62" s="556" t="s">
        <v>431</v>
      </c>
      <c r="J62" s="307"/>
      <c r="K62" s="309"/>
      <c r="L62" s="242"/>
      <c r="M62" s="642">
        <f>SUM(M63:M63)</f>
        <v>200</v>
      </c>
      <c r="N62" s="515">
        <v>0</v>
      </c>
      <c r="O62" s="469">
        <v>0</v>
      </c>
      <c r="P62" s="469">
        <v>0</v>
      </c>
      <c r="Q62" s="469">
        <v>0</v>
      </c>
      <c r="R62" s="469">
        <v>0</v>
      </c>
      <c r="S62" s="469">
        <v>0</v>
      </c>
      <c r="T62" s="470">
        <f>T63</f>
        <v>200</v>
      </c>
      <c r="U62" s="2"/>
      <c r="V62" s="396">
        <f t="shared" si="3"/>
        <v>200</v>
      </c>
    </row>
    <row r="63" spans="1:22" ht="25.5" customHeight="1">
      <c r="A63" s="2"/>
      <c r="B63" s="47"/>
      <c r="C63" s="51"/>
      <c r="D63" s="220"/>
      <c r="E63" s="103"/>
      <c r="F63" s="104"/>
      <c r="G63" s="104"/>
      <c r="H63" s="69"/>
      <c r="I63" s="187" t="s">
        <v>437</v>
      </c>
      <c r="J63" s="251">
        <v>50000</v>
      </c>
      <c r="K63" s="136" t="s">
        <v>527</v>
      </c>
      <c r="L63" s="54" t="s">
        <v>143</v>
      </c>
      <c r="M63" s="442">
        <f>J63*4/1000</f>
        <v>200</v>
      </c>
      <c r="N63" s="591"/>
      <c r="O63" s="412"/>
      <c r="P63" s="412"/>
      <c r="Q63" s="412"/>
      <c r="R63" s="412"/>
      <c r="S63" s="412"/>
      <c r="T63" s="413">
        <v>200</v>
      </c>
      <c r="U63" s="2"/>
      <c r="V63" s="396"/>
    </row>
    <row r="64" spans="1:22" ht="25.5" customHeight="1">
      <c r="A64" s="2"/>
      <c r="B64" s="47"/>
      <c r="C64" s="688" t="s">
        <v>212</v>
      </c>
      <c r="D64" s="689"/>
      <c r="E64" s="99">
        <f>E65+E69+E73+E79+E86+E90</f>
        <v>8765.6</v>
      </c>
      <c r="F64" s="99">
        <f>F65+F69+F73+F79+F86+F90</f>
        <v>10164</v>
      </c>
      <c r="G64" s="315">
        <f>E64-F64</f>
        <v>-1398.3999999999996</v>
      </c>
      <c r="H64" s="311">
        <f>G64/F64</f>
        <v>-0.13758362849271938</v>
      </c>
      <c r="I64" s="183"/>
      <c r="J64" s="247"/>
      <c r="K64" s="132"/>
      <c r="L64" s="62"/>
      <c r="M64" s="441">
        <f>M66+M70+M74+M80+M87+M91</f>
        <v>8765.6</v>
      </c>
      <c r="N64" s="657">
        <f>N65+N69+N73+N79+N86+N90</f>
        <v>0</v>
      </c>
      <c r="O64" s="99">
        <f>O65+O69+O73+O79+O86+O90</f>
        <v>0</v>
      </c>
      <c r="P64" s="99">
        <f>P65+P69+P73+P79+P86+P90</f>
        <v>0</v>
      </c>
      <c r="Q64" s="99">
        <f>Q65+Q69+Q73+Q79+Q86+Q90</f>
        <v>0</v>
      </c>
      <c r="R64" s="99">
        <f>R65+R69+R73+R79+R86+R90</f>
        <v>0</v>
      </c>
      <c r="S64" s="99">
        <f>S66+S70+S74+S80+S87</f>
        <v>8247</v>
      </c>
      <c r="T64" s="481">
        <v>519</v>
      </c>
      <c r="U64" s="2"/>
      <c r="V64" s="396">
        <f t="shared" si="3"/>
        <v>8766</v>
      </c>
    </row>
    <row r="65" spans="1:22" ht="25.5" customHeight="1">
      <c r="A65" s="2"/>
      <c r="B65" s="47"/>
      <c r="C65" s="51"/>
      <c r="D65" s="219" t="s">
        <v>198</v>
      </c>
      <c r="E65" s="103">
        <f>M66</f>
        <v>800</v>
      </c>
      <c r="F65" s="104">
        <v>600</v>
      </c>
      <c r="G65" s="104">
        <f>E65-F65</f>
        <v>200</v>
      </c>
      <c r="H65" s="69">
        <f>G65/F65</f>
        <v>0.3333333333333333</v>
      </c>
      <c r="I65" s="240"/>
      <c r="J65" s="257"/>
      <c r="K65" s="133"/>
      <c r="L65" s="61"/>
      <c r="M65" s="446"/>
      <c r="N65" s="593"/>
      <c r="O65" s="419"/>
      <c r="P65" s="419"/>
      <c r="Q65" s="419"/>
      <c r="R65" s="419"/>
      <c r="S65" s="419"/>
      <c r="T65" s="420"/>
      <c r="U65" s="2"/>
      <c r="V65" s="396">
        <f t="shared" si="3"/>
        <v>0</v>
      </c>
    </row>
    <row r="66" spans="1:22" ht="25.5" customHeight="1">
      <c r="A66" s="2"/>
      <c r="B66" s="47"/>
      <c r="C66" s="51"/>
      <c r="D66" s="220" t="s">
        <v>152</v>
      </c>
      <c r="E66" s="103"/>
      <c r="F66" s="104"/>
      <c r="G66" s="104"/>
      <c r="H66" s="69"/>
      <c r="I66" s="239" t="s">
        <v>441</v>
      </c>
      <c r="J66" s="249"/>
      <c r="K66" s="134"/>
      <c r="L66" s="54"/>
      <c r="M66" s="536">
        <f>SUM(M67:M68)</f>
        <v>800</v>
      </c>
      <c r="N66" s="425">
        <v>0</v>
      </c>
      <c r="O66" s="406">
        <v>0</v>
      </c>
      <c r="P66" s="406">
        <v>0</v>
      </c>
      <c r="Q66" s="406">
        <v>0</v>
      </c>
      <c r="R66" s="406">
        <v>0</v>
      </c>
      <c r="S66" s="421">
        <f>SUM(S67:S68)</f>
        <v>281</v>
      </c>
      <c r="T66" s="422">
        <v>518</v>
      </c>
      <c r="U66" s="2"/>
      <c r="V66" s="396">
        <f>SUM(N66:T66)</f>
        <v>799</v>
      </c>
    </row>
    <row r="67" spans="1:22" ht="25.5" customHeight="1">
      <c r="A67" s="2"/>
      <c r="B67" s="47"/>
      <c r="C67" s="51"/>
      <c r="D67" s="220"/>
      <c r="E67" s="103"/>
      <c r="F67" s="104"/>
      <c r="G67" s="104"/>
      <c r="H67" s="69"/>
      <c r="I67" s="185" t="s">
        <v>468</v>
      </c>
      <c r="J67" s="249">
        <v>300000</v>
      </c>
      <c r="K67" s="134" t="s">
        <v>486</v>
      </c>
      <c r="L67" s="49" t="s">
        <v>143</v>
      </c>
      <c r="M67" s="534">
        <f>J67*2/1000</f>
        <v>600</v>
      </c>
      <c r="N67" s="425">
        <v>0</v>
      </c>
      <c r="O67" s="406">
        <v>0</v>
      </c>
      <c r="P67" s="406">
        <v>0</v>
      </c>
      <c r="Q67" s="406">
        <v>0</v>
      </c>
      <c r="R67" s="406">
        <v>0</v>
      </c>
      <c r="S67" s="406">
        <v>281</v>
      </c>
      <c r="T67" s="407">
        <v>319</v>
      </c>
      <c r="U67" s="2"/>
      <c r="V67" s="396">
        <f>SUM(N67:T67)</f>
        <v>600</v>
      </c>
    </row>
    <row r="68" spans="1:22" ht="25.5" customHeight="1">
      <c r="A68" s="2"/>
      <c r="B68" s="47"/>
      <c r="C68" s="51"/>
      <c r="D68" s="220"/>
      <c r="E68" s="103"/>
      <c r="F68" s="104"/>
      <c r="G68" s="106"/>
      <c r="H68" s="70"/>
      <c r="I68" s="186" t="s">
        <v>442</v>
      </c>
      <c r="J68" s="250">
        <v>100000</v>
      </c>
      <c r="K68" s="135" t="s">
        <v>486</v>
      </c>
      <c r="L68" s="49" t="s">
        <v>143</v>
      </c>
      <c r="M68" s="444">
        <f>J68*2/1000</f>
        <v>200</v>
      </c>
      <c r="N68" s="417">
        <v>0</v>
      </c>
      <c r="O68" s="415">
        <v>0</v>
      </c>
      <c r="P68" s="415">
        <v>0</v>
      </c>
      <c r="Q68" s="415">
        <v>0</v>
      </c>
      <c r="R68" s="415">
        <v>0</v>
      </c>
      <c r="S68" s="415">
        <v>0</v>
      </c>
      <c r="T68" s="407">
        <v>200</v>
      </c>
      <c r="U68" s="2"/>
      <c r="V68" s="396">
        <f aca="true" t="shared" si="11" ref="V68:V131">SUM(N68:T68)</f>
        <v>200</v>
      </c>
    </row>
    <row r="69" spans="1:22" ht="25.5" customHeight="1">
      <c r="A69" s="2"/>
      <c r="B69" s="47"/>
      <c r="C69" s="51"/>
      <c r="D69" s="222" t="s">
        <v>199</v>
      </c>
      <c r="E69" s="101">
        <f>M70</f>
        <v>1000</v>
      </c>
      <c r="F69" s="102">
        <v>1500</v>
      </c>
      <c r="G69" s="313">
        <f>E69-F69</f>
        <v>-500</v>
      </c>
      <c r="H69" s="316">
        <f>G69/F69</f>
        <v>-0.3333333333333333</v>
      </c>
      <c r="I69" s="238"/>
      <c r="J69" s="255"/>
      <c r="K69" s="140"/>
      <c r="L69" s="28"/>
      <c r="M69" s="447"/>
      <c r="N69" s="594"/>
      <c r="O69" s="409"/>
      <c r="P69" s="409"/>
      <c r="Q69" s="409"/>
      <c r="R69" s="409"/>
      <c r="S69" s="409"/>
      <c r="T69" s="410"/>
      <c r="U69" s="2"/>
      <c r="V69" s="396">
        <f t="shared" si="11"/>
        <v>0</v>
      </c>
    </row>
    <row r="70" spans="1:22" ht="25.5" customHeight="1">
      <c r="A70" s="2"/>
      <c r="B70" s="47"/>
      <c r="C70" s="51"/>
      <c r="D70" s="220" t="s">
        <v>153</v>
      </c>
      <c r="E70" s="103"/>
      <c r="F70" s="104"/>
      <c r="G70" s="104"/>
      <c r="H70" s="69"/>
      <c r="I70" s="239" t="s">
        <v>443</v>
      </c>
      <c r="J70" s="249"/>
      <c r="K70" s="134"/>
      <c r="L70" s="54"/>
      <c r="M70" s="534">
        <f>SUM(M71:M72)</f>
        <v>1000</v>
      </c>
      <c r="N70" s="425">
        <v>0</v>
      </c>
      <c r="O70" s="406">
        <v>0</v>
      </c>
      <c r="P70" s="406">
        <v>0</v>
      </c>
      <c r="Q70" s="406">
        <v>0</v>
      </c>
      <c r="R70" s="406">
        <v>0</v>
      </c>
      <c r="S70" s="421">
        <f>S71+S72</f>
        <v>1000</v>
      </c>
      <c r="T70" s="422">
        <f>SUM(T71:T72)</f>
        <v>0</v>
      </c>
      <c r="U70" s="2"/>
      <c r="V70" s="396">
        <f t="shared" si="11"/>
        <v>1000</v>
      </c>
    </row>
    <row r="71" spans="1:22" ht="25.5" customHeight="1">
      <c r="A71" s="2"/>
      <c r="B71" s="47"/>
      <c r="C71" s="51"/>
      <c r="D71" s="220"/>
      <c r="E71" s="103"/>
      <c r="F71" s="104"/>
      <c r="G71" s="104"/>
      <c r="H71" s="69"/>
      <c r="I71" s="186" t="s">
        <v>444</v>
      </c>
      <c r="J71" s="250">
        <v>50000</v>
      </c>
      <c r="K71" s="135" t="s">
        <v>602</v>
      </c>
      <c r="L71" s="49" t="s">
        <v>143</v>
      </c>
      <c r="M71" s="444">
        <f>J71*10/1000</f>
        <v>500</v>
      </c>
      <c r="N71" s="425">
        <v>0</v>
      </c>
      <c r="O71" s="406">
        <v>0</v>
      </c>
      <c r="P71" s="406">
        <v>0</v>
      </c>
      <c r="Q71" s="406">
        <v>0</v>
      </c>
      <c r="R71" s="406">
        <v>0</v>
      </c>
      <c r="S71" s="406">
        <v>500</v>
      </c>
      <c r="T71" s="407">
        <v>0</v>
      </c>
      <c r="U71" s="2"/>
      <c r="V71" s="396">
        <f t="shared" si="11"/>
        <v>500</v>
      </c>
    </row>
    <row r="72" spans="1:22" ht="25.5" customHeight="1">
      <c r="A72" s="2"/>
      <c r="B72" s="47"/>
      <c r="C72" s="51"/>
      <c r="D72" s="220"/>
      <c r="E72" s="103"/>
      <c r="F72" s="104"/>
      <c r="G72" s="104"/>
      <c r="H72" s="69"/>
      <c r="I72" s="186" t="s">
        <v>445</v>
      </c>
      <c r="J72" s="250">
        <v>100000</v>
      </c>
      <c r="K72" s="135" t="s">
        <v>637</v>
      </c>
      <c r="L72" s="49" t="s">
        <v>143</v>
      </c>
      <c r="M72" s="444">
        <f>J72*5/1000</f>
        <v>500</v>
      </c>
      <c r="N72" s="417">
        <v>0</v>
      </c>
      <c r="O72" s="415">
        <v>0</v>
      </c>
      <c r="P72" s="415">
        <v>0</v>
      </c>
      <c r="Q72" s="415">
        <v>0</v>
      </c>
      <c r="R72" s="415">
        <v>0</v>
      </c>
      <c r="S72" s="415">
        <v>500</v>
      </c>
      <c r="T72" s="407">
        <v>0</v>
      </c>
      <c r="U72" s="2"/>
      <c r="V72" s="396">
        <f t="shared" si="11"/>
        <v>500</v>
      </c>
    </row>
    <row r="73" spans="1:22" ht="25.5" customHeight="1">
      <c r="A73" s="2"/>
      <c r="B73" s="47"/>
      <c r="C73" s="51"/>
      <c r="D73" s="222" t="s">
        <v>200</v>
      </c>
      <c r="E73" s="101">
        <f>M74</f>
        <v>2895.6</v>
      </c>
      <c r="F73" s="102">
        <v>2895</v>
      </c>
      <c r="G73" s="102">
        <f>E73-F73</f>
        <v>0.599999999999909</v>
      </c>
      <c r="H73" s="68">
        <f>G73/F73</f>
        <v>0.00020725388601033128</v>
      </c>
      <c r="I73" s="238"/>
      <c r="J73" s="255"/>
      <c r="K73" s="140"/>
      <c r="L73" s="28"/>
      <c r="M73" s="447"/>
      <c r="N73" s="594"/>
      <c r="O73" s="409"/>
      <c r="P73" s="409"/>
      <c r="Q73" s="409"/>
      <c r="R73" s="409"/>
      <c r="S73" s="409"/>
      <c r="T73" s="410"/>
      <c r="U73" s="2"/>
      <c r="V73" s="396">
        <f t="shared" si="11"/>
        <v>0</v>
      </c>
    </row>
    <row r="74" spans="1:22" ht="25.5" customHeight="1">
      <c r="A74" s="2"/>
      <c r="B74" s="47"/>
      <c r="C74" s="51"/>
      <c r="D74" s="220" t="s">
        <v>154</v>
      </c>
      <c r="E74" s="103"/>
      <c r="F74" s="104"/>
      <c r="G74" s="104"/>
      <c r="H74" s="69"/>
      <c r="I74" s="238" t="s">
        <v>446</v>
      </c>
      <c r="J74" s="258"/>
      <c r="K74" s="140"/>
      <c r="L74" s="28"/>
      <c r="M74" s="534">
        <f>SUM(M75:M78)</f>
        <v>2895.6</v>
      </c>
      <c r="N74" s="658">
        <f>SUM(N75:N78)</f>
        <v>0</v>
      </c>
      <c r="O74" s="423">
        <f>SUM(O75:O78)</f>
        <v>0</v>
      </c>
      <c r="P74" s="423">
        <f>SUM(P75:P78)</f>
        <v>0</v>
      </c>
      <c r="Q74" s="423"/>
      <c r="R74" s="423">
        <f>SUM(R75:R78)</f>
        <v>0</v>
      </c>
      <c r="S74" s="423">
        <f>SUM(S75:S78)</f>
        <v>2896</v>
      </c>
      <c r="T74" s="424">
        <f>SUM(T75:T78)</f>
        <v>0</v>
      </c>
      <c r="U74" s="2"/>
      <c r="V74" s="396">
        <f t="shared" si="11"/>
        <v>2896</v>
      </c>
    </row>
    <row r="75" spans="1:22" ht="25.5" customHeight="1">
      <c r="A75" s="2"/>
      <c r="B75" s="47"/>
      <c r="C75" s="51"/>
      <c r="D75" s="220"/>
      <c r="E75" s="103"/>
      <c r="F75" s="104"/>
      <c r="G75" s="104"/>
      <c r="H75" s="69"/>
      <c r="I75" s="185" t="s">
        <v>605</v>
      </c>
      <c r="J75" s="249">
        <v>8800</v>
      </c>
      <c r="K75" s="134" t="s">
        <v>603</v>
      </c>
      <c r="L75" s="54" t="s">
        <v>143</v>
      </c>
      <c r="M75" s="534">
        <f>J75*12/1000</f>
        <v>105.6</v>
      </c>
      <c r="N75" s="425">
        <v>0</v>
      </c>
      <c r="O75" s="406">
        <v>0</v>
      </c>
      <c r="P75" s="406">
        <v>0</v>
      </c>
      <c r="Q75" s="406"/>
      <c r="R75" s="425">
        <v>0</v>
      </c>
      <c r="S75" s="406">
        <v>106</v>
      </c>
      <c r="T75" s="407">
        <v>0</v>
      </c>
      <c r="U75" s="2"/>
      <c r="V75" s="396">
        <f t="shared" si="11"/>
        <v>106</v>
      </c>
    </row>
    <row r="76" spans="1:22" ht="25.5" customHeight="1">
      <c r="A76" s="2"/>
      <c r="B76" s="47"/>
      <c r="C76" s="51"/>
      <c r="D76" s="220"/>
      <c r="E76" s="103"/>
      <c r="F76" s="104"/>
      <c r="G76" s="104"/>
      <c r="H76" s="69"/>
      <c r="I76" s="185" t="s">
        <v>606</v>
      </c>
      <c r="J76" s="249">
        <v>150000</v>
      </c>
      <c r="K76" s="134" t="s">
        <v>608</v>
      </c>
      <c r="L76" s="49" t="s">
        <v>143</v>
      </c>
      <c r="M76" s="534">
        <f>J76*6/1000</f>
        <v>900</v>
      </c>
      <c r="N76" s="425">
        <v>0</v>
      </c>
      <c r="O76" s="406">
        <v>0</v>
      </c>
      <c r="P76" s="406">
        <v>0</v>
      </c>
      <c r="Q76" s="415"/>
      <c r="R76" s="425">
        <v>0</v>
      </c>
      <c r="S76" s="406">
        <v>900</v>
      </c>
      <c r="T76" s="407">
        <v>0</v>
      </c>
      <c r="U76" s="2"/>
      <c r="V76" s="396">
        <f t="shared" si="11"/>
        <v>900</v>
      </c>
    </row>
    <row r="77" spans="1:22" ht="25.5" customHeight="1">
      <c r="A77" s="2"/>
      <c r="B77" s="47"/>
      <c r="C77" s="51"/>
      <c r="D77" s="220"/>
      <c r="E77" s="103"/>
      <c r="F77" s="104"/>
      <c r="G77" s="104"/>
      <c r="H77" s="69"/>
      <c r="I77" s="185" t="s">
        <v>607</v>
      </c>
      <c r="J77" s="249">
        <v>27500</v>
      </c>
      <c r="K77" s="134" t="s">
        <v>609</v>
      </c>
      <c r="L77" s="49" t="s">
        <v>143</v>
      </c>
      <c r="M77" s="534">
        <f>J77*12/1000</f>
        <v>330</v>
      </c>
      <c r="N77" s="425">
        <v>0</v>
      </c>
      <c r="O77" s="406">
        <v>0</v>
      </c>
      <c r="P77" s="406">
        <v>0</v>
      </c>
      <c r="Q77" s="415"/>
      <c r="R77" s="425">
        <v>0</v>
      </c>
      <c r="S77" s="406">
        <v>330</v>
      </c>
      <c r="T77" s="407">
        <v>0</v>
      </c>
      <c r="U77" s="2"/>
      <c r="V77" s="396">
        <f t="shared" si="11"/>
        <v>330</v>
      </c>
    </row>
    <row r="78" spans="1:22" ht="25.5" customHeight="1">
      <c r="A78" s="2"/>
      <c r="B78" s="47"/>
      <c r="C78" s="51"/>
      <c r="D78" s="220"/>
      <c r="E78" s="103"/>
      <c r="F78" s="104"/>
      <c r="G78" s="106"/>
      <c r="H78" s="70"/>
      <c r="I78" s="186" t="s">
        <v>604</v>
      </c>
      <c r="J78" s="250">
        <v>130000</v>
      </c>
      <c r="K78" s="135" t="s">
        <v>609</v>
      </c>
      <c r="L78" s="49" t="s">
        <v>143</v>
      </c>
      <c r="M78" s="444">
        <f>J78*12/1000</f>
        <v>1560</v>
      </c>
      <c r="N78" s="425">
        <v>0</v>
      </c>
      <c r="O78" s="406">
        <v>0</v>
      </c>
      <c r="P78" s="406">
        <v>0</v>
      </c>
      <c r="Q78" s="415"/>
      <c r="R78" s="425">
        <v>0</v>
      </c>
      <c r="S78" s="406">
        <v>1560</v>
      </c>
      <c r="T78" s="407">
        <v>0</v>
      </c>
      <c r="U78" s="2"/>
      <c r="V78" s="396">
        <f t="shared" si="11"/>
        <v>1560</v>
      </c>
    </row>
    <row r="79" spans="1:22" ht="25.5" customHeight="1">
      <c r="A79" s="2"/>
      <c r="B79" s="47"/>
      <c r="C79" s="51"/>
      <c r="D79" s="222" t="s">
        <v>201</v>
      </c>
      <c r="E79" s="101">
        <f>M80</f>
        <v>1270</v>
      </c>
      <c r="F79" s="102">
        <v>1809</v>
      </c>
      <c r="G79" s="313">
        <f>E79-F79</f>
        <v>-539</v>
      </c>
      <c r="H79" s="316">
        <f>G79/F79</f>
        <v>-0.2979546710889994</v>
      </c>
      <c r="I79" s="238"/>
      <c r="J79" s="255"/>
      <c r="K79" s="140"/>
      <c r="L79" s="28"/>
      <c r="M79" s="447"/>
      <c r="N79" s="594"/>
      <c r="O79" s="409"/>
      <c r="P79" s="409"/>
      <c r="Q79" s="409"/>
      <c r="R79" s="409"/>
      <c r="S79" s="409"/>
      <c r="T79" s="410"/>
      <c r="U79" s="2"/>
      <c r="V79" s="396"/>
    </row>
    <row r="80" spans="1:22" ht="25.5" customHeight="1">
      <c r="A80" s="2"/>
      <c r="B80" s="47"/>
      <c r="C80" s="51"/>
      <c r="D80" s="220" t="s">
        <v>155</v>
      </c>
      <c r="E80" s="103"/>
      <c r="F80" s="104"/>
      <c r="G80" s="104"/>
      <c r="H80" s="69"/>
      <c r="I80" s="239" t="s">
        <v>454</v>
      </c>
      <c r="J80" s="249"/>
      <c r="K80" s="134"/>
      <c r="L80" s="54"/>
      <c r="M80" s="534">
        <f aca="true" t="shared" si="12" ref="M80:S80">SUM(M81:M85)</f>
        <v>1270</v>
      </c>
      <c r="N80" s="658">
        <f t="shared" si="12"/>
        <v>0</v>
      </c>
      <c r="O80" s="423">
        <f t="shared" si="12"/>
        <v>0</v>
      </c>
      <c r="P80" s="423">
        <f t="shared" si="12"/>
        <v>0</v>
      </c>
      <c r="Q80" s="423">
        <f t="shared" si="12"/>
        <v>0</v>
      </c>
      <c r="R80" s="423">
        <f t="shared" si="12"/>
        <v>0</v>
      </c>
      <c r="S80" s="423">
        <f t="shared" si="12"/>
        <v>1270</v>
      </c>
      <c r="T80" s="424">
        <f>SUM(T82:T85)</f>
        <v>0</v>
      </c>
      <c r="U80" s="2"/>
      <c r="V80" s="396">
        <f>SUM(N80:T80)</f>
        <v>1270</v>
      </c>
    </row>
    <row r="81" spans="1:22" ht="25.5" customHeight="1">
      <c r="A81" s="2"/>
      <c r="B81" s="449"/>
      <c r="C81" s="52"/>
      <c r="D81" s="223"/>
      <c r="E81" s="109"/>
      <c r="F81" s="110"/>
      <c r="G81" s="110"/>
      <c r="H81" s="72"/>
      <c r="I81" s="193" t="s">
        <v>610</v>
      </c>
      <c r="J81" s="261">
        <v>70000</v>
      </c>
      <c r="K81" s="139" t="s">
        <v>615</v>
      </c>
      <c r="L81" s="50" t="s">
        <v>143</v>
      </c>
      <c r="M81" s="461">
        <f>J81*1/1000</f>
        <v>70</v>
      </c>
      <c r="N81" s="550">
        <v>0</v>
      </c>
      <c r="O81" s="432">
        <v>0</v>
      </c>
      <c r="P81" s="432">
        <v>0</v>
      </c>
      <c r="Q81" s="432">
        <v>0</v>
      </c>
      <c r="R81" s="432">
        <v>0</v>
      </c>
      <c r="S81" s="432">
        <v>70</v>
      </c>
      <c r="T81" s="667">
        <v>0</v>
      </c>
      <c r="U81" s="2"/>
      <c r="V81" s="396">
        <f t="shared" si="11"/>
        <v>70</v>
      </c>
    </row>
    <row r="82" spans="1:22" ht="25.5" customHeight="1">
      <c r="A82" s="2"/>
      <c r="B82" s="451"/>
      <c r="C82" s="57"/>
      <c r="D82" s="303"/>
      <c r="E82" s="304"/>
      <c r="F82" s="305"/>
      <c r="G82" s="305"/>
      <c r="H82" s="510"/>
      <c r="I82" s="306" t="s">
        <v>611</v>
      </c>
      <c r="J82" s="307">
        <v>500000</v>
      </c>
      <c r="K82" s="309" t="s">
        <v>465</v>
      </c>
      <c r="L82" s="242" t="s">
        <v>143</v>
      </c>
      <c r="M82" s="514">
        <f>J82*1/1000</f>
        <v>500</v>
      </c>
      <c r="N82" s="515">
        <v>0</v>
      </c>
      <c r="O82" s="469">
        <v>0</v>
      </c>
      <c r="P82" s="469">
        <v>0</v>
      </c>
      <c r="Q82" s="469">
        <v>0</v>
      </c>
      <c r="R82" s="469">
        <v>0</v>
      </c>
      <c r="S82" s="469">
        <v>500</v>
      </c>
      <c r="T82" s="668">
        <v>0</v>
      </c>
      <c r="U82" s="2"/>
      <c r="V82" s="396">
        <f t="shared" si="11"/>
        <v>500</v>
      </c>
    </row>
    <row r="83" spans="1:22" ht="25.5" customHeight="1">
      <c r="A83" s="2"/>
      <c r="B83" s="47"/>
      <c r="C83" s="51"/>
      <c r="D83" s="220"/>
      <c r="E83" s="103"/>
      <c r="F83" s="104"/>
      <c r="G83" s="104"/>
      <c r="H83" s="69"/>
      <c r="I83" s="186" t="s">
        <v>612</v>
      </c>
      <c r="J83" s="250">
        <v>50000</v>
      </c>
      <c r="K83" s="135" t="s">
        <v>616</v>
      </c>
      <c r="L83" s="49" t="s">
        <v>143</v>
      </c>
      <c r="M83" s="444">
        <f>J83*2/1000</f>
        <v>100</v>
      </c>
      <c r="N83" s="417">
        <v>0</v>
      </c>
      <c r="O83" s="415">
        <v>0</v>
      </c>
      <c r="P83" s="415">
        <v>0</v>
      </c>
      <c r="Q83" s="415">
        <v>0</v>
      </c>
      <c r="R83" s="415">
        <v>0</v>
      </c>
      <c r="S83" s="415">
        <v>100</v>
      </c>
      <c r="T83" s="426">
        <v>0</v>
      </c>
      <c r="U83" s="2"/>
      <c r="V83" s="396">
        <f t="shared" si="11"/>
        <v>100</v>
      </c>
    </row>
    <row r="84" spans="1:22" ht="25.5" customHeight="1">
      <c r="A84" s="2"/>
      <c r="B84" s="47"/>
      <c r="C84" s="51"/>
      <c r="D84" s="220"/>
      <c r="E84" s="103"/>
      <c r="F84" s="104"/>
      <c r="G84" s="104"/>
      <c r="H84" s="69"/>
      <c r="I84" s="186" t="s">
        <v>613</v>
      </c>
      <c r="J84" s="250">
        <v>50000</v>
      </c>
      <c r="K84" s="135" t="s">
        <v>617</v>
      </c>
      <c r="L84" s="49" t="s">
        <v>143</v>
      </c>
      <c r="M84" s="444">
        <f>J84*4/1000</f>
        <v>200</v>
      </c>
      <c r="N84" s="417">
        <v>0</v>
      </c>
      <c r="O84" s="415">
        <v>0</v>
      </c>
      <c r="P84" s="415">
        <v>0</v>
      </c>
      <c r="Q84" s="415">
        <v>0</v>
      </c>
      <c r="R84" s="415">
        <v>0</v>
      </c>
      <c r="S84" s="415">
        <v>200</v>
      </c>
      <c r="T84" s="426">
        <v>0</v>
      </c>
      <c r="U84" s="2"/>
      <c r="V84" s="396">
        <f t="shared" si="11"/>
        <v>200</v>
      </c>
    </row>
    <row r="85" spans="1:22" ht="25.5" customHeight="1">
      <c r="A85" s="2"/>
      <c r="B85" s="47"/>
      <c r="C85" s="51"/>
      <c r="D85" s="220"/>
      <c r="E85" s="103"/>
      <c r="F85" s="104"/>
      <c r="G85" s="106"/>
      <c r="H85" s="70"/>
      <c r="I85" s="186" t="s">
        <v>614</v>
      </c>
      <c r="J85" s="250">
        <v>100000</v>
      </c>
      <c r="K85" s="135" t="s">
        <v>527</v>
      </c>
      <c r="L85" s="49" t="s">
        <v>143</v>
      </c>
      <c r="M85" s="444">
        <f>J85*4/1000</f>
        <v>400</v>
      </c>
      <c r="N85" s="417">
        <v>0</v>
      </c>
      <c r="O85" s="415">
        <v>0</v>
      </c>
      <c r="P85" s="415">
        <v>0</v>
      </c>
      <c r="Q85" s="415">
        <v>0</v>
      </c>
      <c r="R85" s="415">
        <v>0</v>
      </c>
      <c r="S85" s="415">
        <v>400</v>
      </c>
      <c r="T85" s="426">
        <v>0</v>
      </c>
      <c r="U85" s="2"/>
      <c r="V85" s="396">
        <f>SUM(N85:T85)</f>
        <v>400</v>
      </c>
    </row>
    <row r="86" spans="1:21" ht="25.5" customHeight="1">
      <c r="A86" s="2"/>
      <c r="B86" s="47"/>
      <c r="C86" s="51"/>
      <c r="D86" s="222" t="s">
        <v>202</v>
      </c>
      <c r="E86" s="101">
        <f>M87</f>
        <v>2800</v>
      </c>
      <c r="F86" s="102">
        <v>3360</v>
      </c>
      <c r="G86" s="313">
        <f>E86-F86</f>
        <v>-560</v>
      </c>
      <c r="H86" s="314">
        <f>G86/F86</f>
        <v>-0.16666666666666666</v>
      </c>
      <c r="I86" s="187"/>
      <c r="J86" s="251"/>
      <c r="K86" s="136"/>
      <c r="L86" s="55"/>
      <c r="M86" s="442"/>
      <c r="N86" s="594"/>
      <c r="O86" s="409"/>
      <c r="P86" s="409"/>
      <c r="Q86" s="409"/>
      <c r="R86" s="409"/>
      <c r="S86" s="409"/>
      <c r="T86" s="410"/>
      <c r="U86" s="2"/>
    </row>
    <row r="87" spans="1:22" ht="25.5" customHeight="1">
      <c r="A87" s="2"/>
      <c r="B87" s="47"/>
      <c r="C87" s="51"/>
      <c r="D87" s="220" t="s">
        <v>156</v>
      </c>
      <c r="E87" s="103"/>
      <c r="F87" s="104"/>
      <c r="G87" s="104"/>
      <c r="H87" s="69"/>
      <c r="I87" s="239" t="s">
        <v>467</v>
      </c>
      <c r="J87" s="256"/>
      <c r="K87" s="134"/>
      <c r="L87" s="54"/>
      <c r="M87" s="534">
        <f>SUM(M88:M89)</f>
        <v>2800</v>
      </c>
      <c r="N87" s="658">
        <f aca="true" t="shared" si="13" ref="N87:T87">SUM(N88:N89)</f>
        <v>0</v>
      </c>
      <c r="O87" s="423">
        <f t="shared" si="13"/>
        <v>0</v>
      </c>
      <c r="P87" s="423">
        <f t="shared" si="13"/>
        <v>0</v>
      </c>
      <c r="Q87" s="423">
        <f t="shared" si="13"/>
        <v>0</v>
      </c>
      <c r="R87" s="423">
        <f t="shared" si="13"/>
        <v>0</v>
      </c>
      <c r="S87" s="423">
        <f t="shared" si="13"/>
        <v>2800</v>
      </c>
      <c r="T87" s="424">
        <f t="shared" si="13"/>
        <v>0</v>
      </c>
      <c r="U87" s="2"/>
      <c r="V87" s="396">
        <f>SUM(N87:T87)</f>
        <v>2800</v>
      </c>
    </row>
    <row r="88" spans="1:22" ht="25.5" customHeight="1">
      <c r="A88" s="2"/>
      <c r="B88" s="47"/>
      <c r="C88" s="51"/>
      <c r="D88" s="219"/>
      <c r="E88" s="103"/>
      <c r="F88" s="104"/>
      <c r="G88" s="104"/>
      <c r="H88" s="69"/>
      <c r="I88" s="237" t="s">
        <v>490</v>
      </c>
      <c r="J88" s="258">
        <v>200000</v>
      </c>
      <c r="K88" s="140" t="s">
        <v>411</v>
      </c>
      <c r="L88" s="49" t="s">
        <v>143</v>
      </c>
      <c r="M88" s="447">
        <f>J88*12/1000</f>
        <v>2400</v>
      </c>
      <c r="N88" s="591">
        <v>0</v>
      </c>
      <c r="O88" s="412">
        <v>0</v>
      </c>
      <c r="P88" s="412">
        <v>0</v>
      </c>
      <c r="Q88" s="412">
        <v>0</v>
      </c>
      <c r="R88" s="412">
        <v>0</v>
      </c>
      <c r="S88" s="412">
        <v>2400</v>
      </c>
      <c r="T88" s="413">
        <v>0</v>
      </c>
      <c r="U88" s="2"/>
      <c r="V88" s="396">
        <f>SUM(N88:T88)</f>
        <v>2400</v>
      </c>
    </row>
    <row r="89" spans="1:22" ht="25.5" customHeight="1">
      <c r="A89" s="2"/>
      <c r="B89" s="47"/>
      <c r="C89" s="51"/>
      <c r="D89" s="220"/>
      <c r="E89" s="103"/>
      <c r="F89" s="104"/>
      <c r="G89" s="104"/>
      <c r="H89" s="69"/>
      <c r="I89" s="185" t="s">
        <v>491</v>
      </c>
      <c r="J89" s="249">
        <v>100000</v>
      </c>
      <c r="K89" s="134" t="s">
        <v>601</v>
      </c>
      <c r="L89" s="49" t="s">
        <v>143</v>
      </c>
      <c r="M89" s="443">
        <f>J89*4/1000</f>
        <v>400</v>
      </c>
      <c r="N89" s="425">
        <v>0</v>
      </c>
      <c r="O89" s="406">
        <v>0</v>
      </c>
      <c r="P89" s="406">
        <v>0</v>
      </c>
      <c r="Q89" s="406">
        <v>0</v>
      </c>
      <c r="R89" s="406">
        <v>0</v>
      </c>
      <c r="S89" s="406">
        <v>400</v>
      </c>
      <c r="T89" s="407">
        <v>0</v>
      </c>
      <c r="U89" s="2"/>
      <c r="V89" s="396">
        <f>SUM(N89:T89)</f>
        <v>400</v>
      </c>
    </row>
    <row r="90" spans="1:22" ht="25.5" customHeight="1">
      <c r="A90" s="2"/>
      <c r="B90" s="47"/>
      <c r="C90" s="51"/>
      <c r="D90" s="222" t="s">
        <v>203</v>
      </c>
      <c r="E90" s="101">
        <f>M91</f>
        <v>0</v>
      </c>
      <c r="F90" s="102">
        <v>0</v>
      </c>
      <c r="G90" s="102">
        <v>0</v>
      </c>
      <c r="H90" s="68">
        <v>0</v>
      </c>
      <c r="I90" s="187"/>
      <c r="J90" s="251"/>
      <c r="K90" s="136"/>
      <c r="L90" s="55"/>
      <c r="M90" s="442"/>
      <c r="N90" s="594"/>
      <c r="O90" s="409"/>
      <c r="P90" s="409"/>
      <c r="Q90" s="409"/>
      <c r="R90" s="409"/>
      <c r="S90" s="409"/>
      <c r="T90" s="410"/>
      <c r="U90" s="2"/>
      <c r="V90" s="396">
        <f t="shared" si="11"/>
        <v>0</v>
      </c>
    </row>
    <row r="91" spans="1:22" ht="25.5" customHeight="1">
      <c r="A91" s="2"/>
      <c r="B91" s="47"/>
      <c r="C91" s="51"/>
      <c r="D91" s="220" t="s">
        <v>157</v>
      </c>
      <c r="E91" s="103"/>
      <c r="F91" s="104"/>
      <c r="G91" s="104"/>
      <c r="H91" s="69"/>
      <c r="I91" s="239" t="s">
        <v>469</v>
      </c>
      <c r="J91" s="249"/>
      <c r="K91" s="134"/>
      <c r="L91" s="54"/>
      <c r="M91" s="443"/>
      <c r="N91" s="425"/>
      <c r="O91" s="406"/>
      <c r="P91" s="406"/>
      <c r="Q91" s="406"/>
      <c r="R91" s="406"/>
      <c r="S91" s="406"/>
      <c r="T91" s="407"/>
      <c r="U91" s="2"/>
      <c r="V91" s="396">
        <f t="shared" si="11"/>
        <v>0</v>
      </c>
    </row>
    <row r="92" spans="1:22" ht="25.5" customHeight="1">
      <c r="A92" s="2"/>
      <c r="B92" s="682" t="s">
        <v>213</v>
      </c>
      <c r="C92" s="683"/>
      <c r="D92" s="684"/>
      <c r="E92" s="107">
        <f>E93</f>
        <v>0</v>
      </c>
      <c r="F92" s="107">
        <f>F93</f>
        <v>0</v>
      </c>
      <c r="G92" s="108">
        <v>0</v>
      </c>
      <c r="H92" s="71">
        <v>0</v>
      </c>
      <c r="I92" s="191"/>
      <c r="J92" s="259"/>
      <c r="K92" s="138"/>
      <c r="L92" s="58"/>
      <c r="M92" s="445">
        <f>M93</f>
        <v>0</v>
      </c>
      <c r="N92" s="526"/>
      <c r="O92" s="428"/>
      <c r="P92" s="428"/>
      <c r="Q92" s="428"/>
      <c r="R92" s="428"/>
      <c r="S92" s="428"/>
      <c r="T92" s="429"/>
      <c r="U92" s="2"/>
      <c r="V92" s="396">
        <f t="shared" si="11"/>
        <v>0</v>
      </c>
    </row>
    <row r="93" spans="1:22" ht="25.5" customHeight="1">
      <c r="A93" s="2"/>
      <c r="B93" s="47"/>
      <c r="C93" s="688" t="s">
        <v>214</v>
      </c>
      <c r="D93" s="689"/>
      <c r="E93" s="99">
        <f>E94+E97+E100</f>
        <v>0</v>
      </c>
      <c r="F93" s="99">
        <f>F94+F97+F100</f>
        <v>0</v>
      </c>
      <c r="G93" s="100">
        <v>0</v>
      </c>
      <c r="H93" s="67">
        <v>0</v>
      </c>
      <c r="I93" s="183"/>
      <c r="J93" s="247"/>
      <c r="K93" s="132"/>
      <c r="L93" s="62"/>
      <c r="M93" s="441">
        <f>M95+M98+M101</f>
        <v>0</v>
      </c>
      <c r="N93" s="520"/>
      <c r="O93" s="399"/>
      <c r="P93" s="399"/>
      <c r="Q93" s="399"/>
      <c r="R93" s="399"/>
      <c r="S93" s="399"/>
      <c r="T93" s="400"/>
      <c r="U93" s="2"/>
      <c r="V93" s="396">
        <f t="shared" si="11"/>
        <v>0</v>
      </c>
    </row>
    <row r="94" spans="1:22" ht="25.5" customHeight="1">
      <c r="A94" s="2"/>
      <c r="B94" s="47"/>
      <c r="C94" s="51"/>
      <c r="D94" s="219" t="s">
        <v>204</v>
      </c>
      <c r="E94" s="103">
        <f>M95</f>
        <v>0</v>
      </c>
      <c r="F94" s="104">
        <v>0</v>
      </c>
      <c r="G94" s="104">
        <v>0</v>
      </c>
      <c r="H94" s="69">
        <v>0</v>
      </c>
      <c r="I94" s="240"/>
      <c r="J94" s="257"/>
      <c r="K94" s="133"/>
      <c r="L94" s="61"/>
      <c r="M94" s="446"/>
      <c r="N94" s="593"/>
      <c r="O94" s="419"/>
      <c r="P94" s="419"/>
      <c r="Q94" s="419"/>
      <c r="R94" s="419"/>
      <c r="S94" s="419"/>
      <c r="T94" s="420"/>
      <c r="U94" s="2"/>
      <c r="V94" s="396">
        <f t="shared" si="11"/>
        <v>0</v>
      </c>
    </row>
    <row r="95" spans="1:22" ht="25.5" customHeight="1">
      <c r="A95" s="2"/>
      <c r="B95" s="47"/>
      <c r="C95" s="51"/>
      <c r="D95" s="220" t="s">
        <v>158</v>
      </c>
      <c r="E95" s="103"/>
      <c r="F95" s="104"/>
      <c r="G95" s="104"/>
      <c r="H95" s="69"/>
      <c r="I95" s="239" t="s">
        <v>471</v>
      </c>
      <c r="J95" s="249"/>
      <c r="K95" s="134"/>
      <c r="L95" s="54"/>
      <c r="M95" s="534">
        <f>SUM(M96)</f>
        <v>0</v>
      </c>
      <c r="N95" s="425"/>
      <c r="O95" s="406"/>
      <c r="P95" s="406"/>
      <c r="Q95" s="406"/>
      <c r="R95" s="406"/>
      <c r="S95" s="406"/>
      <c r="T95" s="407"/>
      <c r="U95" s="2"/>
      <c r="V95" s="396">
        <f t="shared" si="11"/>
        <v>0</v>
      </c>
    </row>
    <row r="96" spans="1:22" ht="25.5" customHeight="1">
      <c r="A96" s="2"/>
      <c r="B96" s="47"/>
      <c r="C96" s="51"/>
      <c r="D96" s="221"/>
      <c r="E96" s="105"/>
      <c r="F96" s="106"/>
      <c r="G96" s="106"/>
      <c r="H96" s="70"/>
      <c r="I96" s="186"/>
      <c r="J96" s="250"/>
      <c r="K96" s="135"/>
      <c r="L96" s="49"/>
      <c r="M96" s="444"/>
      <c r="N96" s="417"/>
      <c r="O96" s="415"/>
      <c r="P96" s="415"/>
      <c r="Q96" s="415"/>
      <c r="R96" s="415"/>
      <c r="S96" s="415"/>
      <c r="T96" s="416"/>
      <c r="U96" s="2"/>
      <c r="V96" s="396">
        <f t="shared" si="11"/>
        <v>0</v>
      </c>
    </row>
    <row r="97" spans="1:22" ht="25.5" customHeight="1">
      <c r="A97" s="2"/>
      <c r="B97" s="47"/>
      <c r="C97" s="51"/>
      <c r="D97" s="222" t="s">
        <v>175</v>
      </c>
      <c r="E97" s="101">
        <f>M98</f>
        <v>0</v>
      </c>
      <c r="F97" s="102">
        <v>0</v>
      </c>
      <c r="G97" s="102">
        <v>0</v>
      </c>
      <c r="H97" s="68">
        <v>0</v>
      </c>
      <c r="I97" s="187"/>
      <c r="J97" s="251"/>
      <c r="K97" s="136"/>
      <c r="L97" s="55"/>
      <c r="M97" s="442"/>
      <c r="N97" s="594"/>
      <c r="O97" s="409"/>
      <c r="P97" s="409"/>
      <c r="Q97" s="409"/>
      <c r="R97" s="409"/>
      <c r="S97" s="409"/>
      <c r="T97" s="410"/>
      <c r="U97" s="2"/>
      <c r="V97" s="396">
        <f t="shared" si="11"/>
        <v>0</v>
      </c>
    </row>
    <row r="98" spans="1:22" ht="25.5" customHeight="1">
      <c r="A98" s="2"/>
      <c r="B98" s="47"/>
      <c r="C98" s="51"/>
      <c r="D98" s="220" t="s">
        <v>159</v>
      </c>
      <c r="E98" s="103"/>
      <c r="F98" s="104"/>
      <c r="G98" s="104"/>
      <c r="H98" s="69"/>
      <c r="I98" s="239" t="s">
        <v>472</v>
      </c>
      <c r="J98" s="256"/>
      <c r="K98" s="134"/>
      <c r="L98" s="54"/>
      <c r="M98" s="536">
        <f>SUM(M99:M99)</f>
        <v>0</v>
      </c>
      <c r="N98" s="425"/>
      <c r="O98" s="406"/>
      <c r="P98" s="406"/>
      <c r="Q98" s="406"/>
      <c r="R98" s="406"/>
      <c r="S98" s="406"/>
      <c r="T98" s="407"/>
      <c r="U98" s="2"/>
      <c r="V98" s="396"/>
    </row>
    <row r="99" spans="1:22" ht="25.5" customHeight="1">
      <c r="A99" s="2"/>
      <c r="B99" s="47"/>
      <c r="C99" s="51"/>
      <c r="D99" s="225"/>
      <c r="E99" s="103"/>
      <c r="F99" s="104"/>
      <c r="G99" s="104"/>
      <c r="H99" s="69"/>
      <c r="I99" s="185"/>
      <c r="J99" s="256"/>
      <c r="K99" s="134"/>
      <c r="L99" s="54"/>
      <c r="M99" s="443"/>
      <c r="N99" s="425"/>
      <c r="O99" s="406"/>
      <c r="P99" s="406"/>
      <c r="Q99" s="406"/>
      <c r="R99" s="406"/>
      <c r="S99" s="406"/>
      <c r="T99" s="407"/>
      <c r="U99" s="2"/>
      <c r="V99" s="396"/>
    </row>
    <row r="100" spans="1:22" ht="25.5" customHeight="1">
      <c r="A100" s="2"/>
      <c r="B100" s="47"/>
      <c r="C100" s="51"/>
      <c r="D100" s="222" t="s">
        <v>205</v>
      </c>
      <c r="E100" s="101">
        <f>M101</f>
        <v>0</v>
      </c>
      <c r="F100" s="102">
        <v>0</v>
      </c>
      <c r="G100" s="102">
        <v>0</v>
      </c>
      <c r="H100" s="68">
        <v>0</v>
      </c>
      <c r="I100" s="238"/>
      <c r="J100" s="255"/>
      <c r="K100" s="136"/>
      <c r="L100" s="55"/>
      <c r="M100" s="444"/>
      <c r="N100" s="594"/>
      <c r="O100" s="409"/>
      <c r="P100" s="409"/>
      <c r="Q100" s="409"/>
      <c r="R100" s="409"/>
      <c r="S100" s="409"/>
      <c r="T100" s="410"/>
      <c r="U100" s="2"/>
      <c r="V100" s="396">
        <f t="shared" si="11"/>
        <v>0</v>
      </c>
    </row>
    <row r="101" spans="1:22" ht="25.5" customHeight="1">
      <c r="A101" s="2"/>
      <c r="B101" s="449"/>
      <c r="C101" s="52"/>
      <c r="D101" s="223" t="s">
        <v>160</v>
      </c>
      <c r="E101" s="109"/>
      <c r="F101" s="110"/>
      <c r="G101" s="110"/>
      <c r="H101" s="72"/>
      <c r="I101" s="564" t="s">
        <v>475</v>
      </c>
      <c r="J101" s="261"/>
      <c r="K101" s="139"/>
      <c r="L101" s="50"/>
      <c r="M101" s="565">
        <f>SUM(M102)</f>
        <v>0</v>
      </c>
      <c r="N101" s="550"/>
      <c r="O101" s="432"/>
      <c r="P101" s="432"/>
      <c r="Q101" s="432"/>
      <c r="R101" s="432"/>
      <c r="S101" s="432"/>
      <c r="T101" s="433"/>
      <c r="U101" s="2"/>
      <c r="V101" s="396">
        <f t="shared" si="11"/>
        <v>0</v>
      </c>
    </row>
    <row r="102" spans="1:22" ht="25.5" customHeight="1">
      <c r="A102" s="2"/>
      <c r="B102" s="451"/>
      <c r="C102" s="516"/>
      <c r="D102" s="650"/>
      <c r="E102" s="304"/>
      <c r="F102" s="305"/>
      <c r="G102" s="305"/>
      <c r="H102" s="669"/>
      <c r="I102" s="184"/>
      <c r="J102" s="248"/>
      <c r="K102" s="133"/>
      <c r="L102" s="61"/>
      <c r="M102" s="446"/>
      <c r="N102" s="593"/>
      <c r="O102" s="419"/>
      <c r="P102" s="419"/>
      <c r="Q102" s="419"/>
      <c r="R102" s="419"/>
      <c r="S102" s="419"/>
      <c r="T102" s="420"/>
      <c r="U102" s="2"/>
      <c r="V102" s="396">
        <f t="shared" si="11"/>
        <v>0</v>
      </c>
    </row>
    <row r="103" spans="1:22" ht="25.5" customHeight="1">
      <c r="A103" s="2"/>
      <c r="B103" s="682" t="s">
        <v>215</v>
      </c>
      <c r="C103" s="683"/>
      <c r="D103" s="684"/>
      <c r="E103" s="107">
        <f>E104+E111</f>
        <v>6870</v>
      </c>
      <c r="F103" s="107">
        <f>F104+F111</f>
        <v>7670</v>
      </c>
      <c r="G103" s="317">
        <f>E103-F103</f>
        <v>-800</v>
      </c>
      <c r="H103" s="318">
        <f>G103/F103</f>
        <v>-0.10430247718383312</v>
      </c>
      <c r="I103" s="191"/>
      <c r="J103" s="259"/>
      <c r="K103" s="138"/>
      <c r="L103" s="58"/>
      <c r="M103" s="445">
        <f aca="true" t="shared" si="14" ref="M103:T103">M104+M111</f>
        <v>6870</v>
      </c>
      <c r="N103" s="592">
        <f t="shared" si="14"/>
        <v>0</v>
      </c>
      <c r="O103" s="107">
        <f t="shared" si="14"/>
        <v>0</v>
      </c>
      <c r="P103" s="107">
        <f t="shared" si="14"/>
        <v>0</v>
      </c>
      <c r="Q103" s="107">
        <f t="shared" si="14"/>
        <v>0</v>
      </c>
      <c r="R103" s="107">
        <f t="shared" si="14"/>
        <v>0</v>
      </c>
      <c r="S103" s="107">
        <f>S104+S111</f>
        <v>6870</v>
      </c>
      <c r="T103" s="597">
        <f t="shared" si="14"/>
        <v>0</v>
      </c>
      <c r="U103" s="2"/>
      <c r="V103" s="396">
        <f t="shared" si="11"/>
        <v>6870</v>
      </c>
    </row>
    <row r="104" spans="1:22" ht="25.5" customHeight="1">
      <c r="A104" s="2"/>
      <c r="B104" s="47"/>
      <c r="C104" s="688" t="s">
        <v>618</v>
      </c>
      <c r="D104" s="689"/>
      <c r="E104" s="99">
        <f>E105+E108</f>
        <v>4320</v>
      </c>
      <c r="F104" s="99">
        <f>F105+F108</f>
        <v>4320</v>
      </c>
      <c r="G104" s="100">
        <f>E104-F104</f>
        <v>0</v>
      </c>
      <c r="H104" s="67">
        <f>G104/F104</f>
        <v>0</v>
      </c>
      <c r="I104" s="183"/>
      <c r="J104" s="247"/>
      <c r="K104" s="132"/>
      <c r="L104" s="62"/>
      <c r="M104" s="441">
        <f>M107+M110</f>
        <v>4320</v>
      </c>
      <c r="N104" s="657">
        <f>N105+N108</f>
        <v>0</v>
      </c>
      <c r="O104" s="99">
        <f>O105+O108</f>
        <v>0</v>
      </c>
      <c r="P104" s="99">
        <f>P105+P108</f>
        <v>0</v>
      </c>
      <c r="Q104" s="99">
        <f>Q105+Q108</f>
        <v>0</v>
      </c>
      <c r="R104" s="99">
        <f>R105+R108</f>
        <v>0</v>
      </c>
      <c r="S104" s="99">
        <f>S107+S110</f>
        <v>4320</v>
      </c>
      <c r="T104" s="481">
        <f>T105+T108</f>
        <v>0</v>
      </c>
      <c r="U104" s="2"/>
      <c r="V104" s="396">
        <f t="shared" si="11"/>
        <v>4320</v>
      </c>
    </row>
    <row r="105" spans="1:22" ht="25.5" customHeight="1">
      <c r="A105" s="2"/>
      <c r="B105" s="47"/>
      <c r="C105" s="51"/>
      <c r="D105" s="219" t="s">
        <v>619</v>
      </c>
      <c r="E105" s="103">
        <f>M107</f>
        <v>2160</v>
      </c>
      <c r="F105" s="104">
        <v>2160</v>
      </c>
      <c r="G105" s="104">
        <f>E105-F105</f>
        <v>0</v>
      </c>
      <c r="H105" s="69">
        <f>G105/F105</f>
        <v>0</v>
      </c>
      <c r="I105" s="238"/>
      <c r="J105" s="255"/>
      <c r="K105" s="133"/>
      <c r="L105" s="61"/>
      <c r="M105" s="446"/>
      <c r="N105" s="593"/>
      <c r="O105" s="419"/>
      <c r="P105" s="419"/>
      <c r="Q105" s="419"/>
      <c r="R105" s="419"/>
      <c r="S105" s="419"/>
      <c r="T105" s="420"/>
      <c r="U105" s="2"/>
      <c r="V105" s="396">
        <f t="shared" si="11"/>
        <v>0</v>
      </c>
    </row>
    <row r="106" spans="1:22" ht="25.5" customHeight="1">
      <c r="A106" s="2"/>
      <c r="B106" s="47"/>
      <c r="C106" s="51"/>
      <c r="D106" s="220" t="s">
        <v>620</v>
      </c>
      <c r="E106" s="103"/>
      <c r="F106" s="104"/>
      <c r="G106" s="104"/>
      <c r="H106" s="69"/>
      <c r="I106" s="239" t="s">
        <v>621</v>
      </c>
      <c r="J106" s="249"/>
      <c r="K106" s="134"/>
      <c r="L106" s="54"/>
      <c r="M106" s="443"/>
      <c r="N106" s="425"/>
      <c r="O106" s="406"/>
      <c r="P106" s="406"/>
      <c r="Q106" s="406"/>
      <c r="R106" s="406"/>
      <c r="S106" s="406"/>
      <c r="T106" s="407"/>
      <c r="U106" s="2"/>
      <c r="V106" s="396">
        <f t="shared" si="11"/>
        <v>0</v>
      </c>
    </row>
    <row r="107" spans="1:22" ht="25.5" customHeight="1">
      <c r="A107" s="2"/>
      <c r="B107" s="47"/>
      <c r="C107" s="51"/>
      <c r="D107" s="220"/>
      <c r="E107" s="103"/>
      <c r="F107" s="104"/>
      <c r="G107" s="104"/>
      <c r="H107" s="69"/>
      <c r="I107" s="186" t="s">
        <v>622</v>
      </c>
      <c r="J107" s="250">
        <v>180000</v>
      </c>
      <c r="K107" s="135" t="s">
        <v>623</v>
      </c>
      <c r="L107" s="49" t="s">
        <v>143</v>
      </c>
      <c r="M107" s="444">
        <f>J107*12/1000</f>
        <v>2160</v>
      </c>
      <c r="N107" s="417">
        <v>0</v>
      </c>
      <c r="O107" s="415">
        <v>0</v>
      </c>
      <c r="P107" s="415">
        <v>0</v>
      </c>
      <c r="Q107" s="415">
        <v>0</v>
      </c>
      <c r="R107" s="415">
        <v>0</v>
      </c>
      <c r="S107" s="415">
        <v>2160</v>
      </c>
      <c r="T107" s="416">
        <v>0</v>
      </c>
      <c r="U107" s="2"/>
      <c r="V107" s="396">
        <f t="shared" si="11"/>
        <v>2160</v>
      </c>
    </row>
    <row r="108" spans="1:22" ht="25.5" customHeight="1">
      <c r="A108" s="2"/>
      <c r="B108" s="47"/>
      <c r="C108" s="51"/>
      <c r="D108" s="219" t="s">
        <v>624</v>
      </c>
      <c r="E108" s="103">
        <f>M110</f>
        <v>2160</v>
      </c>
      <c r="F108" s="104">
        <v>2160</v>
      </c>
      <c r="G108" s="104">
        <f>E108-F108</f>
        <v>0</v>
      </c>
      <c r="H108" s="69">
        <f>G108/F108</f>
        <v>0</v>
      </c>
      <c r="I108" s="186" t="s">
        <v>565</v>
      </c>
      <c r="J108" s="250"/>
      <c r="K108" s="135"/>
      <c r="L108" s="49"/>
      <c r="M108" s="444"/>
      <c r="N108" s="417"/>
      <c r="O108" s="415"/>
      <c r="P108" s="415"/>
      <c r="Q108" s="415"/>
      <c r="R108" s="415"/>
      <c r="S108" s="415"/>
      <c r="T108" s="416"/>
      <c r="U108" s="2"/>
      <c r="V108" s="396">
        <f t="shared" si="11"/>
        <v>0</v>
      </c>
    </row>
    <row r="109" spans="1:22" ht="25.5" customHeight="1">
      <c r="A109" s="2"/>
      <c r="B109" s="47"/>
      <c r="C109" s="51"/>
      <c r="D109" s="220" t="s">
        <v>625</v>
      </c>
      <c r="E109" s="103"/>
      <c r="F109" s="104"/>
      <c r="G109" s="104"/>
      <c r="H109" s="69"/>
      <c r="I109" s="192" t="s">
        <v>626</v>
      </c>
      <c r="J109" s="250"/>
      <c r="K109" s="135"/>
      <c r="L109" s="49"/>
      <c r="M109" s="444"/>
      <c r="N109" s="417"/>
      <c r="O109" s="415"/>
      <c r="P109" s="415"/>
      <c r="Q109" s="415"/>
      <c r="R109" s="415"/>
      <c r="S109" s="415"/>
      <c r="T109" s="416"/>
      <c r="U109" s="2"/>
      <c r="V109" s="396">
        <f t="shared" si="11"/>
        <v>0</v>
      </c>
    </row>
    <row r="110" spans="1:22" ht="25.5" customHeight="1">
      <c r="A110" s="2"/>
      <c r="B110" s="47"/>
      <c r="C110" s="51"/>
      <c r="D110" s="220"/>
      <c r="E110" s="103"/>
      <c r="F110" s="104"/>
      <c r="G110" s="104"/>
      <c r="H110" s="69"/>
      <c r="I110" s="186" t="s">
        <v>627</v>
      </c>
      <c r="J110" s="250">
        <v>180000</v>
      </c>
      <c r="K110" s="135" t="s">
        <v>391</v>
      </c>
      <c r="L110" s="49" t="s">
        <v>143</v>
      </c>
      <c r="M110" s="444">
        <f>J110*12/1000</f>
        <v>2160</v>
      </c>
      <c r="N110" s="417">
        <v>0</v>
      </c>
      <c r="O110" s="415">
        <v>0</v>
      </c>
      <c r="P110" s="415">
        <v>0</v>
      </c>
      <c r="Q110" s="415">
        <v>0</v>
      </c>
      <c r="R110" s="415">
        <v>0</v>
      </c>
      <c r="S110" s="415">
        <v>2160</v>
      </c>
      <c r="T110" s="416">
        <v>0</v>
      </c>
      <c r="U110" s="2"/>
      <c r="V110" s="396">
        <f t="shared" si="11"/>
        <v>2160</v>
      </c>
    </row>
    <row r="111" spans="1:22" ht="25.5" customHeight="1">
      <c r="A111" s="2"/>
      <c r="B111" s="47"/>
      <c r="C111" s="688" t="s">
        <v>216</v>
      </c>
      <c r="D111" s="689"/>
      <c r="E111" s="99">
        <f>E112</f>
        <v>2550</v>
      </c>
      <c r="F111" s="99">
        <f>F112</f>
        <v>3350</v>
      </c>
      <c r="G111" s="315">
        <f>E111-F111</f>
        <v>-800</v>
      </c>
      <c r="H111" s="311">
        <f>G111/F111</f>
        <v>-0.23880597014925373</v>
      </c>
      <c r="I111" s="183"/>
      <c r="J111" s="247"/>
      <c r="K111" s="132"/>
      <c r="L111" s="62"/>
      <c r="M111" s="441">
        <f>M113</f>
        <v>2550</v>
      </c>
      <c r="N111" s="520">
        <f aca="true" t="shared" si="15" ref="N111:T111">N113</f>
        <v>0</v>
      </c>
      <c r="O111" s="399">
        <f t="shared" si="15"/>
        <v>0</v>
      </c>
      <c r="P111" s="399">
        <f t="shared" si="15"/>
        <v>0</v>
      </c>
      <c r="Q111" s="399">
        <f t="shared" si="15"/>
        <v>0</v>
      </c>
      <c r="R111" s="399">
        <f t="shared" si="15"/>
        <v>0</v>
      </c>
      <c r="S111" s="399">
        <f>S113</f>
        <v>2550</v>
      </c>
      <c r="T111" s="400">
        <f t="shared" si="15"/>
        <v>0</v>
      </c>
      <c r="U111" s="2"/>
      <c r="V111" s="396">
        <f t="shared" si="11"/>
        <v>2550</v>
      </c>
    </row>
    <row r="112" spans="1:22" ht="25.5" customHeight="1">
      <c r="A112" s="2"/>
      <c r="B112" s="47"/>
      <c r="C112" s="51"/>
      <c r="D112" s="219" t="s">
        <v>628</v>
      </c>
      <c r="E112" s="103">
        <f>M113</f>
        <v>2550</v>
      </c>
      <c r="F112" s="104">
        <v>3350</v>
      </c>
      <c r="G112" s="663">
        <f>E112-F112</f>
        <v>-800</v>
      </c>
      <c r="H112" s="664">
        <f>G112/F112</f>
        <v>-0.23880597014925373</v>
      </c>
      <c r="I112" s="184"/>
      <c r="J112" s="248"/>
      <c r="K112" s="133"/>
      <c r="L112" s="61"/>
      <c r="M112" s="446"/>
      <c r="N112" s="593"/>
      <c r="O112" s="419"/>
      <c r="P112" s="419"/>
      <c r="Q112" s="419"/>
      <c r="R112" s="419"/>
      <c r="S112" s="419"/>
      <c r="T112" s="420"/>
      <c r="U112" s="2"/>
      <c r="V112" s="396"/>
    </row>
    <row r="113" spans="1:22" ht="25.5" customHeight="1">
      <c r="A113" s="2"/>
      <c r="B113" s="47"/>
      <c r="C113" s="51"/>
      <c r="D113" s="220" t="s">
        <v>629</v>
      </c>
      <c r="E113" s="103"/>
      <c r="F113" s="104"/>
      <c r="G113" s="104"/>
      <c r="H113" s="69"/>
      <c r="I113" s="239" t="s">
        <v>630</v>
      </c>
      <c r="J113" s="249"/>
      <c r="K113" s="134"/>
      <c r="L113" s="54"/>
      <c r="M113" s="443">
        <f>M114+M115+M116</f>
        <v>2550</v>
      </c>
      <c r="N113" s="425">
        <v>0</v>
      </c>
      <c r="O113" s="406">
        <v>0</v>
      </c>
      <c r="P113" s="406">
        <v>0</v>
      </c>
      <c r="Q113" s="406">
        <v>0</v>
      </c>
      <c r="R113" s="406">
        <v>0</v>
      </c>
      <c r="S113" s="492">
        <f>S114+S115+S116</f>
        <v>2550</v>
      </c>
      <c r="T113" s="407">
        <v>0</v>
      </c>
      <c r="U113" s="2"/>
      <c r="V113" s="396">
        <f t="shared" si="11"/>
        <v>2550</v>
      </c>
    </row>
    <row r="114" spans="1:22" ht="25.5" customHeight="1">
      <c r="A114" s="2"/>
      <c r="B114" s="47"/>
      <c r="C114" s="51"/>
      <c r="D114" s="220"/>
      <c r="E114" s="103"/>
      <c r="F114" s="104"/>
      <c r="G114" s="104"/>
      <c r="H114" s="69"/>
      <c r="I114" s="186" t="s">
        <v>631</v>
      </c>
      <c r="J114" s="250">
        <v>50000</v>
      </c>
      <c r="K114" s="135" t="s">
        <v>634</v>
      </c>
      <c r="L114" s="49" t="s">
        <v>143</v>
      </c>
      <c r="M114" s="444">
        <f>J114*12/1000</f>
        <v>600</v>
      </c>
      <c r="N114" s="417">
        <v>0</v>
      </c>
      <c r="O114" s="415">
        <v>0</v>
      </c>
      <c r="P114" s="415">
        <v>0</v>
      </c>
      <c r="Q114" s="415">
        <v>0</v>
      </c>
      <c r="R114" s="415">
        <v>0</v>
      </c>
      <c r="S114" s="415">
        <v>600</v>
      </c>
      <c r="T114" s="416">
        <v>0</v>
      </c>
      <c r="U114" s="2"/>
      <c r="V114" s="396"/>
    </row>
    <row r="115" spans="1:22" ht="25.5" customHeight="1">
      <c r="A115" s="2"/>
      <c r="B115" s="47"/>
      <c r="C115" s="51"/>
      <c r="D115" s="220"/>
      <c r="E115" s="103"/>
      <c r="F115" s="104"/>
      <c r="G115" s="104"/>
      <c r="H115" s="69"/>
      <c r="I115" s="186" t="s">
        <v>632</v>
      </c>
      <c r="J115" s="250">
        <v>180000</v>
      </c>
      <c r="K115" s="135" t="s">
        <v>635</v>
      </c>
      <c r="L115" s="49" t="s">
        <v>143</v>
      </c>
      <c r="M115" s="444">
        <f>J115*10/1000</f>
        <v>1800</v>
      </c>
      <c r="N115" s="417">
        <v>0</v>
      </c>
      <c r="O115" s="415">
        <v>0</v>
      </c>
      <c r="P115" s="415">
        <v>0</v>
      </c>
      <c r="Q115" s="415">
        <v>0</v>
      </c>
      <c r="R115" s="415">
        <v>0</v>
      </c>
      <c r="S115" s="415">
        <v>1800</v>
      </c>
      <c r="T115" s="416">
        <v>0</v>
      </c>
      <c r="U115" s="2"/>
      <c r="V115" s="396"/>
    </row>
    <row r="116" spans="1:22" ht="25.5" customHeight="1">
      <c r="A116" s="2"/>
      <c r="B116" s="47"/>
      <c r="C116" s="51"/>
      <c r="D116" s="219"/>
      <c r="E116" s="103"/>
      <c r="F116" s="104"/>
      <c r="G116" s="104"/>
      <c r="H116" s="69"/>
      <c r="I116" s="186" t="s">
        <v>633</v>
      </c>
      <c r="J116" s="250">
        <v>150000</v>
      </c>
      <c r="K116" s="135" t="s">
        <v>636</v>
      </c>
      <c r="L116" s="49" t="s">
        <v>143</v>
      </c>
      <c r="M116" s="444">
        <f>J116*1/1000</f>
        <v>150</v>
      </c>
      <c r="N116" s="417">
        <v>0</v>
      </c>
      <c r="O116" s="415">
        <v>0</v>
      </c>
      <c r="P116" s="415">
        <v>0</v>
      </c>
      <c r="Q116" s="415">
        <v>0</v>
      </c>
      <c r="R116" s="415">
        <v>0</v>
      </c>
      <c r="S116" s="415">
        <v>150</v>
      </c>
      <c r="T116" s="416">
        <v>0</v>
      </c>
      <c r="U116" s="2"/>
      <c r="V116" s="396">
        <f t="shared" si="11"/>
        <v>150</v>
      </c>
    </row>
    <row r="117" spans="1:22" ht="25.5" customHeight="1">
      <c r="A117" s="2"/>
      <c r="B117" s="682" t="s">
        <v>217</v>
      </c>
      <c r="C117" s="683"/>
      <c r="D117" s="684"/>
      <c r="E117" s="107"/>
      <c r="F117" s="108"/>
      <c r="G117" s="108"/>
      <c r="H117" s="71"/>
      <c r="I117" s="191"/>
      <c r="J117" s="259"/>
      <c r="K117" s="138"/>
      <c r="L117" s="58"/>
      <c r="M117" s="445"/>
      <c r="N117" s="526"/>
      <c r="O117" s="428"/>
      <c r="P117" s="428"/>
      <c r="Q117" s="428"/>
      <c r="R117" s="428"/>
      <c r="S117" s="428"/>
      <c r="T117" s="429"/>
      <c r="U117" s="2"/>
      <c r="V117" s="396">
        <f t="shared" si="11"/>
        <v>0</v>
      </c>
    </row>
    <row r="118" spans="1:22" ht="25.5" customHeight="1">
      <c r="A118" s="2"/>
      <c r="B118" s="47"/>
      <c r="C118" s="688" t="s">
        <v>218</v>
      </c>
      <c r="D118" s="689"/>
      <c r="E118" s="99"/>
      <c r="F118" s="100"/>
      <c r="G118" s="100"/>
      <c r="H118" s="67"/>
      <c r="I118" s="183"/>
      <c r="J118" s="247"/>
      <c r="K118" s="132"/>
      <c r="L118" s="62"/>
      <c r="M118" s="441"/>
      <c r="N118" s="520"/>
      <c r="O118" s="399"/>
      <c r="P118" s="399"/>
      <c r="Q118" s="399"/>
      <c r="R118" s="399"/>
      <c r="S118" s="399"/>
      <c r="T118" s="400"/>
      <c r="U118" s="2"/>
      <c r="V118" s="396">
        <f t="shared" si="11"/>
        <v>0</v>
      </c>
    </row>
    <row r="119" spans="1:22" ht="25.5" customHeight="1">
      <c r="A119" s="2"/>
      <c r="B119" s="47"/>
      <c r="C119" s="51"/>
      <c r="D119" s="219" t="s">
        <v>181</v>
      </c>
      <c r="E119" s="103"/>
      <c r="F119" s="104"/>
      <c r="G119" s="104"/>
      <c r="H119" s="69"/>
      <c r="I119" s="192"/>
      <c r="J119" s="256"/>
      <c r="K119" s="241"/>
      <c r="L119" s="242"/>
      <c r="M119" s="514"/>
      <c r="N119" s="425"/>
      <c r="O119" s="406"/>
      <c r="P119" s="406"/>
      <c r="Q119" s="406"/>
      <c r="R119" s="406"/>
      <c r="S119" s="406"/>
      <c r="T119" s="407"/>
      <c r="U119" s="2"/>
      <c r="V119" s="396">
        <f t="shared" si="11"/>
        <v>0</v>
      </c>
    </row>
    <row r="120" spans="1:22" ht="25.5" customHeight="1">
      <c r="A120" s="2"/>
      <c r="B120" s="47"/>
      <c r="C120" s="52"/>
      <c r="D120" s="223" t="s">
        <v>166</v>
      </c>
      <c r="E120" s="103"/>
      <c r="F120" s="104"/>
      <c r="G120" s="104"/>
      <c r="H120" s="69"/>
      <c r="I120" s="185"/>
      <c r="J120" s="249"/>
      <c r="K120" s="134"/>
      <c r="L120" s="28"/>
      <c r="M120" s="447"/>
      <c r="N120" s="594"/>
      <c r="O120" s="409"/>
      <c r="P120" s="409"/>
      <c r="Q120" s="409"/>
      <c r="R120" s="409"/>
      <c r="S120" s="409"/>
      <c r="T120" s="410"/>
      <c r="U120" s="2"/>
      <c r="V120" s="396">
        <f t="shared" si="11"/>
        <v>0</v>
      </c>
    </row>
    <row r="121" spans="1:22" ht="25.5" customHeight="1">
      <c r="A121" s="2"/>
      <c r="B121" s="682" t="s">
        <v>219</v>
      </c>
      <c r="C121" s="683"/>
      <c r="D121" s="684"/>
      <c r="E121" s="107"/>
      <c r="F121" s="108"/>
      <c r="G121" s="108"/>
      <c r="H121" s="71"/>
      <c r="I121" s="191"/>
      <c r="J121" s="259"/>
      <c r="K121" s="138"/>
      <c r="L121" s="58"/>
      <c r="M121" s="445"/>
      <c r="N121" s="526"/>
      <c r="O121" s="428"/>
      <c r="P121" s="428"/>
      <c r="Q121" s="428"/>
      <c r="R121" s="428"/>
      <c r="S121" s="428"/>
      <c r="T121" s="429"/>
      <c r="U121" s="2"/>
      <c r="V121" s="396">
        <f t="shared" si="11"/>
        <v>0</v>
      </c>
    </row>
    <row r="122" spans="1:22" ht="25.5" customHeight="1">
      <c r="A122" s="2"/>
      <c r="B122" s="451"/>
      <c r="C122" s="688" t="s">
        <v>220</v>
      </c>
      <c r="D122" s="689"/>
      <c r="E122" s="99"/>
      <c r="F122" s="100"/>
      <c r="G122" s="100"/>
      <c r="H122" s="67"/>
      <c r="I122" s="183"/>
      <c r="J122" s="247"/>
      <c r="K122" s="132"/>
      <c r="L122" s="62"/>
      <c r="M122" s="441"/>
      <c r="N122" s="520"/>
      <c r="O122" s="399"/>
      <c r="P122" s="399"/>
      <c r="Q122" s="399"/>
      <c r="R122" s="399"/>
      <c r="S122" s="399"/>
      <c r="T122" s="400"/>
      <c r="U122" s="2"/>
      <c r="V122" s="396">
        <f t="shared" si="11"/>
        <v>0</v>
      </c>
    </row>
    <row r="123" spans="1:22" ht="25.5" customHeight="1">
      <c r="A123" s="2"/>
      <c r="B123" s="47"/>
      <c r="C123" s="51"/>
      <c r="D123" s="219" t="s">
        <v>182</v>
      </c>
      <c r="E123" s="103"/>
      <c r="F123" s="104"/>
      <c r="G123" s="104"/>
      <c r="H123" s="69"/>
      <c r="I123" s="192"/>
      <c r="J123" s="256"/>
      <c r="K123" s="134"/>
      <c r="L123" s="54"/>
      <c r="M123" s="443"/>
      <c r="N123" s="425"/>
      <c r="O123" s="406"/>
      <c r="P123" s="406"/>
      <c r="Q123" s="406"/>
      <c r="R123" s="406"/>
      <c r="S123" s="406"/>
      <c r="T123" s="407"/>
      <c r="U123" s="2"/>
      <c r="V123" s="396">
        <f t="shared" si="11"/>
        <v>0</v>
      </c>
    </row>
    <row r="124" spans="1:22" ht="25.5" customHeight="1">
      <c r="A124" s="2"/>
      <c r="B124" s="47"/>
      <c r="C124" s="51"/>
      <c r="D124" s="220" t="s">
        <v>167</v>
      </c>
      <c r="E124" s="103"/>
      <c r="F124" s="104"/>
      <c r="G124" s="104"/>
      <c r="H124" s="69"/>
      <c r="I124" s="186"/>
      <c r="J124" s="250"/>
      <c r="K124" s="135"/>
      <c r="L124" s="49"/>
      <c r="M124" s="444"/>
      <c r="N124" s="417"/>
      <c r="O124" s="415"/>
      <c r="P124" s="415"/>
      <c r="Q124" s="415"/>
      <c r="R124" s="415"/>
      <c r="S124" s="415"/>
      <c r="T124" s="416"/>
      <c r="U124" s="2"/>
      <c r="V124" s="396">
        <f t="shared" si="11"/>
        <v>0</v>
      </c>
    </row>
    <row r="125" spans="1:22" ht="25.5" customHeight="1">
      <c r="A125" s="2"/>
      <c r="B125" s="682" t="s">
        <v>221</v>
      </c>
      <c r="C125" s="683"/>
      <c r="D125" s="684"/>
      <c r="E125" s="107"/>
      <c r="F125" s="108"/>
      <c r="G125" s="108"/>
      <c r="H125" s="71"/>
      <c r="I125" s="191"/>
      <c r="J125" s="259"/>
      <c r="K125" s="138"/>
      <c r="L125" s="58"/>
      <c r="M125" s="445"/>
      <c r="N125" s="526"/>
      <c r="O125" s="428"/>
      <c r="P125" s="428"/>
      <c r="Q125" s="428"/>
      <c r="R125" s="428"/>
      <c r="S125" s="428"/>
      <c r="T125" s="429"/>
      <c r="U125" s="2"/>
      <c r="V125" s="396">
        <f t="shared" si="11"/>
        <v>0</v>
      </c>
    </row>
    <row r="126" spans="1:22" ht="25.5" customHeight="1">
      <c r="A126" s="2"/>
      <c r="B126" s="47"/>
      <c r="C126" s="688" t="s">
        <v>222</v>
      </c>
      <c r="D126" s="689"/>
      <c r="E126" s="99"/>
      <c r="F126" s="100"/>
      <c r="G126" s="100"/>
      <c r="H126" s="67"/>
      <c r="I126" s="183"/>
      <c r="J126" s="247"/>
      <c r="K126" s="132"/>
      <c r="L126" s="62"/>
      <c r="M126" s="441"/>
      <c r="N126" s="520"/>
      <c r="O126" s="399"/>
      <c r="P126" s="399"/>
      <c r="Q126" s="399"/>
      <c r="R126" s="399"/>
      <c r="S126" s="399"/>
      <c r="T126" s="400"/>
      <c r="U126" s="2"/>
      <c r="V126" s="396">
        <f t="shared" si="11"/>
        <v>0</v>
      </c>
    </row>
    <row r="127" spans="1:22" ht="25.5" customHeight="1">
      <c r="A127" s="2"/>
      <c r="B127" s="47"/>
      <c r="C127" s="51"/>
      <c r="D127" s="219" t="s">
        <v>183</v>
      </c>
      <c r="E127" s="103"/>
      <c r="F127" s="104"/>
      <c r="G127" s="104"/>
      <c r="H127" s="69"/>
      <c r="I127" s="192"/>
      <c r="J127" s="256"/>
      <c r="K127" s="134"/>
      <c r="L127" s="54"/>
      <c r="M127" s="443"/>
      <c r="N127" s="425"/>
      <c r="O127" s="406"/>
      <c r="P127" s="406"/>
      <c r="Q127" s="406"/>
      <c r="R127" s="406"/>
      <c r="S127" s="406"/>
      <c r="T127" s="407"/>
      <c r="U127" s="2"/>
      <c r="V127" s="396">
        <f t="shared" si="11"/>
        <v>0</v>
      </c>
    </row>
    <row r="128" spans="1:22" ht="25.5" customHeight="1">
      <c r="A128" s="2"/>
      <c r="B128" s="47"/>
      <c r="C128" s="51"/>
      <c r="D128" s="221" t="s">
        <v>168</v>
      </c>
      <c r="E128" s="105"/>
      <c r="F128" s="106"/>
      <c r="G128" s="106"/>
      <c r="H128" s="70"/>
      <c r="I128" s="186"/>
      <c r="J128" s="250"/>
      <c r="K128" s="135"/>
      <c r="L128" s="49"/>
      <c r="M128" s="444"/>
      <c r="N128" s="417"/>
      <c r="O128" s="415"/>
      <c r="P128" s="415"/>
      <c r="Q128" s="415"/>
      <c r="R128" s="415"/>
      <c r="S128" s="415"/>
      <c r="T128" s="416"/>
      <c r="U128" s="2"/>
      <c r="V128" s="396">
        <f t="shared" si="11"/>
        <v>0</v>
      </c>
    </row>
    <row r="129" spans="1:22" ht="25.5" customHeight="1">
      <c r="A129" s="2"/>
      <c r="B129" s="47"/>
      <c r="C129" s="51"/>
      <c r="D129" s="222" t="s">
        <v>207</v>
      </c>
      <c r="E129" s="101"/>
      <c r="F129" s="102"/>
      <c r="G129" s="102"/>
      <c r="H129" s="68"/>
      <c r="I129" s="192"/>
      <c r="J129" s="260"/>
      <c r="K129" s="135"/>
      <c r="L129" s="49"/>
      <c r="M129" s="444"/>
      <c r="N129" s="417"/>
      <c r="O129" s="415"/>
      <c r="P129" s="415"/>
      <c r="Q129" s="415"/>
      <c r="R129" s="415"/>
      <c r="S129" s="415"/>
      <c r="T129" s="416"/>
      <c r="U129" s="2"/>
      <c r="V129" s="396">
        <f t="shared" si="11"/>
        <v>0</v>
      </c>
    </row>
    <row r="130" spans="1:22" ht="25.5" customHeight="1">
      <c r="A130" s="2"/>
      <c r="B130" s="47"/>
      <c r="C130" s="52"/>
      <c r="D130" s="223" t="s">
        <v>169</v>
      </c>
      <c r="E130" s="103"/>
      <c r="F130" s="104"/>
      <c r="G130" s="104"/>
      <c r="H130" s="69"/>
      <c r="I130" s="187"/>
      <c r="J130" s="251"/>
      <c r="K130" s="136"/>
      <c r="L130" s="55"/>
      <c r="M130" s="442"/>
      <c r="N130" s="594"/>
      <c r="O130" s="409"/>
      <c r="P130" s="409"/>
      <c r="Q130" s="409"/>
      <c r="R130" s="409"/>
      <c r="S130" s="409"/>
      <c r="T130" s="410"/>
      <c r="U130" s="2"/>
      <c r="V130" s="396">
        <f t="shared" si="11"/>
        <v>0</v>
      </c>
    </row>
    <row r="131" spans="1:22" ht="25.5" customHeight="1">
      <c r="A131" s="2"/>
      <c r="B131" s="682" t="s">
        <v>223</v>
      </c>
      <c r="C131" s="683"/>
      <c r="D131" s="684"/>
      <c r="E131" s="107"/>
      <c r="F131" s="108"/>
      <c r="G131" s="108"/>
      <c r="H131" s="71"/>
      <c r="I131" s="191"/>
      <c r="J131" s="259"/>
      <c r="K131" s="138"/>
      <c r="L131" s="58"/>
      <c r="M131" s="445"/>
      <c r="N131" s="526"/>
      <c r="O131" s="428"/>
      <c r="P131" s="428"/>
      <c r="Q131" s="428"/>
      <c r="R131" s="428"/>
      <c r="S131" s="428"/>
      <c r="T131" s="429"/>
      <c r="U131" s="2"/>
      <c r="V131" s="396">
        <f t="shared" si="11"/>
        <v>0</v>
      </c>
    </row>
    <row r="132" spans="1:22" ht="25.5" customHeight="1">
      <c r="A132" s="2"/>
      <c r="B132" s="47"/>
      <c r="C132" s="688" t="s">
        <v>224</v>
      </c>
      <c r="D132" s="689"/>
      <c r="E132" s="99"/>
      <c r="F132" s="100"/>
      <c r="G132" s="100"/>
      <c r="H132" s="67"/>
      <c r="I132" s="183"/>
      <c r="J132" s="247"/>
      <c r="K132" s="132"/>
      <c r="L132" s="62"/>
      <c r="M132" s="441"/>
      <c r="N132" s="520"/>
      <c r="O132" s="399"/>
      <c r="P132" s="399"/>
      <c r="Q132" s="399"/>
      <c r="R132" s="399"/>
      <c r="S132" s="399"/>
      <c r="T132" s="400"/>
      <c r="U132" s="2"/>
      <c r="V132" s="396">
        <f aca="true" t="shared" si="16" ref="V132:V138">SUM(N132:T132)</f>
        <v>0</v>
      </c>
    </row>
    <row r="133" spans="1:22" ht="25.5" customHeight="1">
      <c r="A133" s="2"/>
      <c r="B133" s="47"/>
      <c r="C133" s="51"/>
      <c r="D133" s="219" t="s">
        <v>184</v>
      </c>
      <c r="E133" s="103"/>
      <c r="F133" s="104"/>
      <c r="G133" s="104"/>
      <c r="H133" s="69"/>
      <c r="I133" s="192"/>
      <c r="J133" s="256"/>
      <c r="K133" s="134"/>
      <c r="L133" s="54"/>
      <c r="M133" s="443"/>
      <c r="N133" s="425"/>
      <c r="O133" s="406"/>
      <c r="P133" s="406"/>
      <c r="Q133" s="406"/>
      <c r="R133" s="406"/>
      <c r="S133" s="406"/>
      <c r="T133" s="407"/>
      <c r="U133" s="2"/>
      <c r="V133" s="396">
        <f t="shared" si="16"/>
        <v>0</v>
      </c>
    </row>
    <row r="134" spans="1:22" ht="25.5" customHeight="1">
      <c r="A134" s="2"/>
      <c r="B134" s="47"/>
      <c r="C134" s="51"/>
      <c r="D134" s="220" t="s">
        <v>170</v>
      </c>
      <c r="E134" s="103"/>
      <c r="F134" s="104"/>
      <c r="G134" s="104"/>
      <c r="H134" s="72"/>
      <c r="I134" s="186"/>
      <c r="J134" s="250"/>
      <c r="K134" s="135"/>
      <c r="L134" s="49"/>
      <c r="M134" s="444"/>
      <c r="N134" s="417"/>
      <c r="O134" s="415"/>
      <c r="P134" s="415"/>
      <c r="Q134" s="415"/>
      <c r="R134" s="415"/>
      <c r="S134" s="415"/>
      <c r="T134" s="416"/>
      <c r="U134" s="2"/>
      <c r="V134" s="396">
        <f t="shared" si="16"/>
        <v>0</v>
      </c>
    </row>
    <row r="135" spans="1:22" ht="25.5" customHeight="1">
      <c r="A135" s="2"/>
      <c r="B135" s="682" t="s">
        <v>225</v>
      </c>
      <c r="C135" s="683"/>
      <c r="D135" s="684"/>
      <c r="E135" s="107">
        <f>E136</f>
        <v>576</v>
      </c>
      <c r="F135" s="107">
        <f>F136</f>
        <v>1727</v>
      </c>
      <c r="G135" s="317">
        <f>E135-F135</f>
        <v>-1151</v>
      </c>
      <c r="H135" s="318">
        <f>G135/F135</f>
        <v>-0.6664736537348003</v>
      </c>
      <c r="I135" s="191"/>
      <c r="J135" s="259"/>
      <c r="K135" s="138"/>
      <c r="L135" s="58"/>
      <c r="M135" s="445">
        <f>M136</f>
        <v>576</v>
      </c>
      <c r="N135" s="526">
        <f aca="true" t="shared" si="17" ref="N135:T135">N136</f>
        <v>0</v>
      </c>
      <c r="O135" s="428">
        <f t="shared" si="17"/>
        <v>0</v>
      </c>
      <c r="P135" s="428">
        <f t="shared" si="17"/>
        <v>0</v>
      </c>
      <c r="Q135" s="428">
        <f t="shared" si="17"/>
        <v>0</v>
      </c>
      <c r="R135" s="428">
        <f t="shared" si="17"/>
        <v>0</v>
      </c>
      <c r="S135" s="428">
        <f t="shared" si="17"/>
        <v>0</v>
      </c>
      <c r="T135" s="429">
        <f t="shared" si="17"/>
        <v>576</v>
      </c>
      <c r="U135" s="2"/>
      <c r="V135" s="396">
        <f t="shared" si="16"/>
        <v>576</v>
      </c>
    </row>
    <row r="136" spans="1:22" ht="25.5" customHeight="1">
      <c r="A136" s="2"/>
      <c r="B136" s="47"/>
      <c r="C136" s="688" t="s">
        <v>226</v>
      </c>
      <c r="D136" s="689"/>
      <c r="E136" s="99">
        <f>E137</f>
        <v>576</v>
      </c>
      <c r="F136" s="99">
        <f>F137</f>
        <v>1727</v>
      </c>
      <c r="G136" s="315">
        <f>E136-F136</f>
        <v>-1151</v>
      </c>
      <c r="H136" s="311">
        <f>G136/F136</f>
        <v>-0.6664736537348003</v>
      </c>
      <c r="I136" s="183"/>
      <c r="J136" s="247"/>
      <c r="K136" s="132"/>
      <c r="L136" s="62"/>
      <c r="M136" s="441">
        <f>M138</f>
        <v>576</v>
      </c>
      <c r="N136" s="520">
        <f aca="true" t="shared" si="18" ref="N136:T136">N138</f>
        <v>0</v>
      </c>
      <c r="O136" s="399">
        <f t="shared" si="18"/>
        <v>0</v>
      </c>
      <c r="P136" s="399">
        <f t="shared" si="18"/>
        <v>0</v>
      </c>
      <c r="Q136" s="399">
        <v>0</v>
      </c>
      <c r="R136" s="399">
        <f t="shared" si="18"/>
        <v>0</v>
      </c>
      <c r="S136" s="399">
        <f t="shared" si="18"/>
        <v>0</v>
      </c>
      <c r="T136" s="400">
        <f t="shared" si="18"/>
        <v>576</v>
      </c>
      <c r="U136" s="2"/>
      <c r="V136" s="396">
        <f t="shared" si="16"/>
        <v>576</v>
      </c>
    </row>
    <row r="137" spans="1:22" ht="25.5" customHeight="1">
      <c r="A137" s="2"/>
      <c r="B137" s="47"/>
      <c r="C137" s="51"/>
      <c r="D137" s="219" t="s">
        <v>185</v>
      </c>
      <c r="E137" s="103">
        <f>M138</f>
        <v>576</v>
      </c>
      <c r="F137" s="104">
        <v>1727</v>
      </c>
      <c r="G137" s="104"/>
      <c r="H137" s="69"/>
      <c r="I137" s="274"/>
      <c r="J137" s="275"/>
      <c r="K137" s="56"/>
      <c r="L137" s="28"/>
      <c r="M137" s="447"/>
      <c r="N137" s="591"/>
      <c r="O137" s="412"/>
      <c r="P137" s="412"/>
      <c r="Q137" s="412"/>
      <c r="R137" s="412"/>
      <c r="S137" s="412"/>
      <c r="T137" s="413"/>
      <c r="U137" s="2"/>
      <c r="V137" s="396">
        <f t="shared" si="16"/>
        <v>0</v>
      </c>
    </row>
    <row r="138" spans="1:22" ht="25.5" customHeight="1">
      <c r="A138" s="2"/>
      <c r="B138" s="449"/>
      <c r="C138" s="52"/>
      <c r="D138" s="223" t="s">
        <v>171</v>
      </c>
      <c r="E138" s="109"/>
      <c r="F138" s="110"/>
      <c r="G138" s="110"/>
      <c r="H138" s="72"/>
      <c r="I138" s="564" t="s">
        <v>638</v>
      </c>
      <c r="J138" s="261"/>
      <c r="K138" s="139"/>
      <c r="L138" s="50"/>
      <c r="M138" s="461">
        <v>576</v>
      </c>
      <c r="N138" s="550">
        <v>0</v>
      </c>
      <c r="O138" s="432">
        <v>0</v>
      </c>
      <c r="P138" s="432">
        <v>0</v>
      </c>
      <c r="Q138" s="432"/>
      <c r="R138" s="432">
        <v>0</v>
      </c>
      <c r="S138" s="432">
        <v>0</v>
      </c>
      <c r="T138" s="433">
        <v>576</v>
      </c>
      <c r="U138" s="2"/>
      <c r="V138" s="396">
        <f t="shared" si="16"/>
        <v>576</v>
      </c>
    </row>
  </sheetData>
  <mergeCells count="29">
    <mergeCell ref="A2:T2"/>
    <mergeCell ref="C136:D136"/>
    <mergeCell ref="B117:D117"/>
    <mergeCell ref="C118:D118"/>
    <mergeCell ref="B121:D121"/>
    <mergeCell ref="C122:D122"/>
    <mergeCell ref="B125:D125"/>
    <mergeCell ref="C126:D126"/>
    <mergeCell ref="C111:D111"/>
    <mergeCell ref="B131:D131"/>
    <mergeCell ref="I4:M5"/>
    <mergeCell ref="C53:D53"/>
    <mergeCell ref="C64:D64"/>
    <mergeCell ref="B6:D6"/>
    <mergeCell ref="B7:D7"/>
    <mergeCell ref="B92:D92"/>
    <mergeCell ref="C132:D132"/>
    <mergeCell ref="B135:D135"/>
    <mergeCell ref="C104:D104"/>
    <mergeCell ref="S3:T3"/>
    <mergeCell ref="N4:T4"/>
    <mergeCell ref="C93:D93"/>
    <mergeCell ref="B103:D103"/>
    <mergeCell ref="G4:H4"/>
    <mergeCell ref="E4:E5"/>
    <mergeCell ref="F4:F5"/>
    <mergeCell ref="C8:D8"/>
    <mergeCell ref="B4:D4"/>
    <mergeCell ref="L3:M3"/>
  </mergeCells>
  <printOptions/>
  <pageMargins left="0.35433070866141736" right="0.35433070866141736" top="0.5905511811023623" bottom="0.3937007874015748" header="0" footer="0"/>
  <pageSetup firstPageNumber="100" useFirstPageNumber="1" horizontalDpi="600" verticalDpi="600" orientation="landscape" paperSize="9" r:id="rId1"/>
  <ignoredErrors>
    <ignoredError sqref="M76 S104" formula="1"/>
    <ignoredError sqref="N15 T80 V1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신정원</cp:lastModifiedBy>
  <cp:lastPrinted>2007-12-28T07:46:37Z</cp:lastPrinted>
  <dcterms:created xsi:type="dcterms:W3CDTF">1999-11-03T01:34:50Z</dcterms:created>
  <dcterms:modified xsi:type="dcterms:W3CDTF">2008-01-11T02:49:21Z</dcterms:modified>
  <cp:category/>
  <cp:version/>
  <cp:contentType/>
  <cp:contentStatus/>
</cp:coreProperties>
</file>