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tabRatio="701" activeTab="0"/>
  </bookViews>
  <sheets>
    <sheet name="사회복지관 총괄" sheetId="1" r:id="rId1"/>
    <sheet name="재가복지총괄" sheetId="2" r:id="rId2"/>
    <sheet name="주간보호총괄" sheetId="3" r:id="rId3"/>
    <sheet name="사회복지관" sheetId="4" r:id="rId4"/>
    <sheet name="재가복지" sheetId="5" r:id="rId5"/>
    <sheet name="주간보호" sheetId="6" r:id="rId6"/>
  </sheets>
  <definedNames/>
  <calcPr fullCalcOnLoad="1"/>
</workbook>
</file>

<file path=xl/sharedStrings.xml><?xml version="1.0" encoding="utf-8"?>
<sst xmlns="http://schemas.openxmlformats.org/spreadsheetml/2006/main" count="1876" uniqueCount="1019">
  <si>
    <t>(1) 세입·세출 총괄</t>
  </si>
  <si>
    <t xml:space="preserve">          </t>
  </si>
  <si>
    <t>(단위:천원)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</si>
  <si>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</si>
  <si>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</si>
  <si>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</si>
  <si>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</si>
  <si>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</si>
  <si>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</si>
  <si>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</si>
  <si>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</si>
  <si>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계</t>
  </si>
  <si>
    <t>01  사무비</t>
  </si>
  <si>
    <t>소계</t>
  </si>
  <si>
    <t>11 인건비</t>
  </si>
  <si>
    <t>71 이월금</t>
  </si>
  <si>
    <t>131 여비</t>
  </si>
  <si>
    <t>81 잡수입</t>
  </si>
  <si>
    <t>133 공공요금</t>
  </si>
  <si>
    <t>813 기타잡수입</t>
  </si>
  <si>
    <t>134 제세공과금</t>
  </si>
  <si>
    <t>33 사업비</t>
  </si>
  <si>
    <t>71 잡지출</t>
  </si>
  <si>
    <t>711 잡지출</t>
  </si>
  <si>
    <t>113 일용잡금</t>
  </si>
  <si>
    <t>132 수용비 및 수수료</t>
  </si>
  <si>
    <t>21 시설비</t>
  </si>
  <si>
    <t>211 시설비</t>
  </si>
  <si>
    <t>212 자산취득비</t>
  </si>
  <si>
    <t>213 시설장비유지비</t>
  </si>
  <si>
    <t>11 사회복지관 인건비</t>
  </si>
  <si>
    <t>61 법인전입금</t>
  </si>
  <si>
    <t>81 예비비</t>
  </si>
  <si>
    <t>811 예비비</t>
  </si>
  <si>
    <t>소   계</t>
  </si>
  <si>
    <t>(단위 : 천원)</t>
  </si>
  <si>
    <t>06예산(B)</t>
  </si>
  <si>
    <t>05예산(A)</t>
  </si>
  <si>
    <t>증감(B-A)</t>
  </si>
  <si>
    <t>2006년 예산산출내역</t>
  </si>
  <si>
    <t>비율</t>
  </si>
  <si>
    <t>01 사무비</t>
  </si>
  <si>
    <t>ㅇ 급여</t>
  </si>
  <si>
    <t>ㅇ 기말수당</t>
  </si>
  <si>
    <t>*200%=</t>
  </si>
  <si>
    <t>*400%=</t>
  </si>
  <si>
    <t>*100%*2월=</t>
  </si>
  <si>
    <t>ㅇ 제수당</t>
  </si>
  <si>
    <t>*20%=</t>
  </si>
  <si>
    <t>*12월=</t>
  </si>
  <si>
    <t>*50%=</t>
  </si>
  <si>
    <t>*25%=</t>
  </si>
  <si>
    <t>가족수당</t>
  </si>
  <si>
    <t>장기근속수당</t>
  </si>
  <si>
    <t>*12명*12월=</t>
  </si>
  <si>
    <t>*2명*12월=</t>
  </si>
  <si>
    <t>*1명*12월=</t>
  </si>
  <si>
    <t>112    상여금</t>
  </si>
  <si>
    <t>114    제수당</t>
  </si>
  <si>
    <t>*1/12=</t>
  </si>
  <si>
    <t>국민건강보험료</t>
  </si>
  <si>
    <t>ㅇ 퇴직적립금</t>
  </si>
  <si>
    <t>ㅇ 사회보험부담금</t>
  </si>
  <si>
    <t>ㅇ 종사자특별수당</t>
  </si>
  <si>
    <t>*3.94%=</t>
  </si>
  <si>
    <t>111    급  여</t>
  </si>
  <si>
    <t>115   퇴직금 및</t>
  </si>
  <si>
    <t xml:space="preserve">       퇴직적립금</t>
  </si>
  <si>
    <t>116  사회보험부담금</t>
  </si>
  <si>
    <t>117  기타후생경비</t>
  </si>
  <si>
    <t>118  종사자특별수당</t>
  </si>
  <si>
    <t>11 장애아동 인건비</t>
  </si>
  <si>
    <t>1. 사회복지사(4)</t>
  </si>
  <si>
    <t xml:space="preserve">   사회복지사(5)</t>
  </si>
  <si>
    <t>*65%=</t>
  </si>
  <si>
    <t>*70%=</t>
  </si>
  <si>
    <t>*12월*1명=</t>
  </si>
  <si>
    <t>*6월=</t>
  </si>
  <si>
    <t>11 이동목욕인건비</t>
  </si>
  <si>
    <t>1. 사회복지사(5)</t>
  </si>
  <si>
    <t>*70%*2월=</t>
  </si>
  <si>
    <t>이동목욕보조</t>
  </si>
  <si>
    <t>*50%*2월=</t>
  </si>
  <si>
    <t>*25%*2월=</t>
  </si>
  <si>
    <t>12   업무추진비</t>
  </si>
  <si>
    <t>122  직책보조비</t>
  </si>
  <si>
    <t>123  회  의  비</t>
  </si>
  <si>
    <t>ㅇ 기관운영비</t>
  </si>
  <si>
    <t>ㅇ 직책보조비</t>
  </si>
  <si>
    <t>ㅇ 회의비</t>
  </si>
  <si>
    <t>13  사회복지관운영비</t>
  </si>
  <si>
    <t>ㅇ 출장비</t>
  </si>
  <si>
    <t>ㅇ 수용비 및 수수료</t>
  </si>
  <si>
    <t>사무용품비</t>
  </si>
  <si>
    <t>*10월=</t>
  </si>
  <si>
    <t>기타수용비</t>
  </si>
  <si>
    <t>*4회=</t>
  </si>
  <si>
    <t>전기요금</t>
  </si>
  <si>
    <t>전화요금</t>
  </si>
  <si>
    <t>도시가스요금</t>
  </si>
  <si>
    <t>관리비</t>
  </si>
  <si>
    <t>PC통신비</t>
  </si>
  <si>
    <t>*1회</t>
  </si>
  <si>
    <t>ㅇ 제세공과금</t>
  </si>
  <si>
    <t>*1회=</t>
  </si>
  <si>
    <t>ㅇ 공공요금</t>
  </si>
  <si>
    <t>13  이동목욕운영비</t>
  </si>
  <si>
    <t>환경개선부담금</t>
  </si>
  <si>
    <t xml:space="preserve">   조성비</t>
  </si>
  <si>
    <t>ㅇ 자산취득비</t>
  </si>
  <si>
    <t>ㅇ 시설장비유지비</t>
  </si>
  <si>
    <t>03 사업비</t>
  </si>
  <si>
    <t>ㅇ 난방비</t>
  </si>
  <si>
    <t>33 사회복지관사업비</t>
  </si>
  <si>
    <t>335 가족복지사업 계</t>
  </si>
  <si>
    <t>가족복지사업</t>
  </si>
  <si>
    <t>1. 가족관계증진사업</t>
  </si>
  <si>
    <t>상담</t>
  </si>
  <si>
    <t>부모교육</t>
  </si>
  <si>
    <t>부모,아동심리검사</t>
  </si>
  <si>
    <t>4. 부양가족지원사업</t>
  </si>
  <si>
    <t>*2회=</t>
  </si>
  <si>
    <t>ㅇ 부모아동심리검사</t>
  </si>
  <si>
    <t>*20명=</t>
  </si>
  <si>
    <t>ㅇ 진로탐색프로그램</t>
  </si>
  <si>
    <t>1. 급식서비스</t>
  </si>
  <si>
    <t>경로식당</t>
  </si>
  <si>
    <t>식사배달사업</t>
  </si>
  <si>
    <t>ㅇ 경로식당운영</t>
  </si>
  <si>
    <t>ㅇ 식사배달사업</t>
  </si>
  <si>
    <t>별도회계</t>
  </si>
  <si>
    <t>지역사회보호사업</t>
  </si>
  <si>
    <t>내과진료</t>
  </si>
  <si>
    <t>외과진료</t>
  </si>
  <si>
    <t>물리치료</t>
  </si>
  <si>
    <t>내과진료차량지원</t>
  </si>
  <si>
    <t>외과진료차량지원</t>
  </si>
  <si>
    <t>물리치료차량지원</t>
  </si>
  <si>
    <t>3. 경제적 지원</t>
  </si>
  <si>
    <t>후원물품제공</t>
  </si>
  <si>
    <t>의료비지원사업</t>
  </si>
  <si>
    <t>교육비지원사업</t>
  </si>
  <si>
    <t>4. 일상생활지원</t>
  </si>
  <si>
    <t>집수리사업</t>
  </si>
  <si>
    <t>이미용서비스제공</t>
  </si>
  <si>
    <t>휠체어대여</t>
  </si>
  <si>
    <t>5. 정서서비스</t>
  </si>
  <si>
    <t>말벗.안부전화</t>
  </si>
  <si>
    <t>6. 일시보호서비스</t>
  </si>
  <si>
    <t>336 지역사회보호사업 계</t>
  </si>
  <si>
    <t>337 지역사회조직사업 계</t>
  </si>
  <si>
    <t>1. 주민조직강화</t>
  </si>
  <si>
    <t xml:space="preserve">    및 교육사업</t>
  </si>
  <si>
    <t>후원회관리</t>
  </si>
  <si>
    <t>장애인 모임</t>
  </si>
  <si>
    <t>지역사회조직사업</t>
  </si>
  <si>
    <t>지역주민대표자간담회</t>
  </si>
  <si>
    <t>우정회 월례회</t>
  </si>
  <si>
    <t>* 2회=</t>
  </si>
  <si>
    <t>*12회=</t>
  </si>
  <si>
    <t>실습생지도사업</t>
  </si>
  <si>
    <t>자문위원회</t>
  </si>
  <si>
    <t>서구지역사회복지기관 간담회</t>
  </si>
  <si>
    <t>사회복지전담공무원간담회</t>
  </si>
  <si>
    <t>관리소장간담회</t>
  </si>
  <si>
    <t>4. 주민복지증진사업</t>
  </si>
  <si>
    <t>둔산어르신한마당잔치</t>
  </si>
  <si>
    <t>사랑의김장나누기축제</t>
  </si>
  <si>
    <t>설맞이잔치</t>
  </si>
  <si>
    <t>한가위잔치</t>
  </si>
  <si>
    <t>홈페이지관리사업</t>
  </si>
  <si>
    <t>지역주민편의시설제공</t>
  </si>
  <si>
    <t>새터민지원사업</t>
  </si>
  <si>
    <t>소직지발간사업</t>
  </si>
  <si>
    <t xml:space="preserve">    후원자 발굴사업</t>
  </si>
  <si>
    <t>자원봉사자관리</t>
  </si>
  <si>
    <t>자원봉사자캠프</t>
  </si>
  <si>
    <t>자원봉사단월례회</t>
  </si>
  <si>
    <t>후원자개발</t>
  </si>
  <si>
    <t>CMS후원자개발,관리</t>
  </si>
  <si>
    <t>보증보험료</t>
  </si>
  <si>
    <t>금융결재원수수료</t>
  </si>
  <si>
    <t>338 교육문화사업  계</t>
  </si>
  <si>
    <t>아동컴퓨터교실</t>
  </si>
  <si>
    <t>홍보비</t>
  </si>
  <si>
    <t>한글교실</t>
  </si>
  <si>
    <t>청소년댄스동아리</t>
  </si>
  <si>
    <t>둔산영화관</t>
  </si>
  <si>
    <t>청소년문화체험캠프</t>
  </si>
  <si>
    <t>*년1회=</t>
  </si>
  <si>
    <t>339 자활사업   계</t>
  </si>
  <si>
    <t>2. 취업알선</t>
  </si>
  <si>
    <t>직업능력개발강좌</t>
  </si>
  <si>
    <t>시설견학</t>
  </si>
  <si>
    <t>홍보비,사업비</t>
  </si>
  <si>
    <t>그룹교육</t>
  </si>
  <si>
    <t>간식비</t>
  </si>
  <si>
    <t>교육재료비</t>
  </si>
  <si>
    <t>적응훈련</t>
  </si>
  <si>
    <t>33 장애아동탁아방사업</t>
  </si>
  <si>
    <t>340 장애아동사업 계</t>
  </si>
  <si>
    <t>봄,가을 소풍</t>
  </si>
  <si>
    <t>캠프</t>
  </si>
  <si>
    <t>어린이날 행사</t>
  </si>
  <si>
    <t>성탄절 행사</t>
  </si>
  <si>
    <t>목욕서비스</t>
  </si>
  <si>
    <t>장애아동탁아방사업</t>
  </si>
  <si>
    <t>33 이동목욕서비스사업</t>
  </si>
  <si>
    <t>이동목욕서비스사업</t>
  </si>
  <si>
    <t>33 기타외부지원사업비</t>
  </si>
  <si>
    <t>341 이동목욕사업계</t>
  </si>
  <si>
    <t>인건비</t>
  </si>
  <si>
    <t>퇴직적립금</t>
  </si>
  <si>
    <t>산재보험</t>
  </si>
  <si>
    <t>사업비</t>
  </si>
  <si>
    <t>전용회선비</t>
  </si>
  <si>
    <t>물품구입비</t>
  </si>
  <si>
    <t>*4.5%=</t>
  </si>
  <si>
    <t>0.9%=</t>
  </si>
  <si>
    <t>0.5%=</t>
  </si>
  <si>
    <t>343 경로식당사업비</t>
  </si>
  <si>
    <t>347 사랑의저녁도시락사업비</t>
  </si>
  <si>
    <t>344 재가노인식사배달사업비</t>
  </si>
  <si>
    <t>349 경로당활성화사업비</t>
  </si>
  <si>
    <t xml:space="preserve">   상환금</t>
  </si>
  <si>
    <t>61 부채상환금</t>
  </si>
  <si>
    <t>07 잡지출</t>
  </si>
  <si>
    <t>잡지출</t>
  </si>
  <si>
    <t>08 예비비</t>
  </si>
  <si>
    <t>원금상환금</t>
  </si>
  <si>
    <t>(3) 사회복지관 세출내역</t>
  </si>
  <si>
    <t>04 보조금</t>
  </si>
  <si>
    <t xml:space="preserve">    수   입</t>
  </si>
  <si>
    <t>사업수입</t>
  </si>
  <si>
    <t>43 후원금수입</t>
  </si>
  <si>
    <t>441 후원금</t>
  </si>
  <si>
    <t>후원금수입</t>
  </si>
  <si>
    <t>06 전입금</t>
  </si>
  <si>
    <t>07 이월금</t>
  </si>
  <si>
    <t>08 잡수입</t>
  </si>
  <si>
    <t>812 이자수입</t>
  </si>
  <si>
    <t>기타수입(자판기수입 등)</t>
  </si>
  <si>
    <t>잡수입</t>
  </si>
  <si>
    <t>134 제세공과금</t>
  </si>
  <si>
    <t>135 차량비</t>
  </si>
  <si>
    <t>차량유류비</t>
  </si>
  <si>
    <t>차량유지보수비</t>
  </si>
  <si>
    <t>343 주민교육사업</t>
  </si>
  <si>
    <t>지정후원금(결연후원)</t>
  </si>
  <si>
    <t>711 전년도이월금</t>
  </si>
  <si>
    <t>(3) 둔산실비주간보호센타 세출내역</t>
  </si>
  <si>
    <t>한국재가노인복지협회비</t>
  </si>
  <si>
    <t>33 사업비</t>
  </si>
  <si>
    <t>05 예산(A)</t>
  </si>
  <si>
    <t>06 예산(B)</t>
  </si>
  <si>
    <t>118 종사자특별수당</t>
  </si>
  <si>
    <t>348 새터민지원사업비</t>
  </si>
  <si>
    <t>711 전년도이월금</t>
  </si>
  <si>
    <t>118 종사자특별수당</t>
  </si>
  <si>
    <t>132 수용비 및 수수료</t>
  </si>
  <si>
    <t>343 주민교육사업</t>
  </si>
  <si>
    <t>344 홍보사업</t>
  </si>
  <si>
    <t>둔산실비주간보호센터 세입 총계</t>
  </si>
  <si>
    <t>01 입소자</t>
  </si>
  <si>
    <t xml:space="preserve">   부담금</t>
  </si>
  <si>
    <t>111 입소비용수입</t>
  </si>
  <si>
    <t>135 차량비</t>
  </si>
  <si>
    <t>411 종사자특별수당</t>
  </si>
  <si>
    <t>프로그램운영비</t>
  </si>
  <si>
    <t>후원금</t>
  </si>
  <si>
    <t>411 재가복지인건비</t>
  </si>
  <si>
    <t>(3) 재가복지봉사센터 세출내역</t>
  </si>
  <si>
    <t>111 급여</t>
  </si>
  <si>
    <t>112 상여금</t>
  </si>
  <si>
    <t>114 제수당</t>
  </si>
  <si>
    <t>관</t>
  </si>
  <si>
    <t>항</t>
  </si>
  <si>
    <t>목</t>
  </si>
  <si>
    <t>증감 (B-A)</t>
  </si>
  <si>
    <t>액수</t>
  </si>
  <si>
    <t>비율(%)</t>
  </si>
  <si>
    <t>03  사업비</t>
  </si>
  <si>
    <t>계</t>
  </si>
  <si>
    <t>31 운영비</t>
  </si>
  <si>
    <t>소계</t>
  </si>
  <si>
    <t>71 잡지출</t>
  </si>
  <si>
    <t>711 잡지출</t>
  </si>
  <si>
    <t>(단위:천원)</t>
  </si>
  <si>
    <t>세               입</t>
  </si>
  <si>
    <t>세               출</t>
  </si>
  <si>
    <t>관</t>
  </si>
  <si>
    <t>항</t>
  </si>
  <si>
    <t>목</t>
  </si>
  <si>
    <t>05 예산(A)</t>
  </si>
  <si>
    <t>06 예산(B)</t>
  </si>
  <si>
    <t>증감 (B-A)</t>
  </si>
  <si>
    <t>액수</t>
  </si>
  <si>
    <t>비율(%)</t>
  </si>
  <si>
    <t>재가복지 세입 총계</t>
  </si>
  <si>
    <t>재가복지 세출 총계</t>
  </si>
  <si>
    <t>04 보조금</t>
  </si>
  <si>
    <t>계</t>
  </si>
  <si>
    <t>01  사무비</t>
  </si>
  <si>
    <t xml:space="preserve">   수입</t>
  </si>
  <si>
    <t>41 경상보조금</t>
  </si>
  <si>
    <t>소계</t>
  </si>
  <si>
    <t>11 인건비</t>
  </si>
  <si>
    <t>111 급여</t>
  </si>
  <si>
    <t>411 종사자수당</t>
  </si>
  <si>
    <t>112 상여금</t>
  </si>
  <si>
    <t>412 재가복지운영비</t>
  </si>
  <si>
    <t>114 제수당</t>
  </si>
  <si>
    <t>115 퇴지금 및 퇴직적립금</t>
  </si>
  <si>
    <t>44 후원금수입</t>
  </si>
  <si>
    <t>116 사회보험부담금</t>
  </si>
  <si>
    <t>441 후원금수입</t>
  </si>
  <si>
    <t>117 기타후생경비</t>
  </si>
  <si>
    <t>07 이월금</t>
  </si>
  <si>
    <t>71 이월금</t>
  </si>
  <si>
    <t>13 운영비</t>
  </si>
  <si>
    <t>131 여비</t>
  </si>
  <si>
    <t>08 잡수입</t>
  </si>
  <si>
    <t>81 잡수입</t>
  </si>
  <si>
    <t>812 수입이자</t>
  </si>
  <si>
    <t>813 기타잡수입</t>
  </si>
  <si>
    <t>136 직원연수 및 직원교육</t>
  </si>
  <si>
    <t>02 재산조성비</t>
  </si>
  <si>
    <t>21 시설비</t>
  </si>
  <si>
    <t>211 시설비</t>
  </si>
  <si>
    <t>03  사업비</t>
  </si>
  <si>
    <t>335 대상자관리사업</t>
  </si>
  <si>
    <t>336 가사서비스사업</t>
  </si>
  <si>
    <t>337 정서적서비스</t>
  </si>
  <si>
    <t>339 간병서비스사업</t>
  </si>
  <si>
    <t>340 사회적서비스</t>
  </si>
  <si>
    <t>342 결연사업 및 후원활동</t>
  </si>
  <si>
    <t>344 홍보사업</t>
  </si>
  <si>
    <t>08 예비비</t>
  </si>
  <si>
    <t>81 예비비</t>
  </si>
  <si>
    <t>811 예비비</t>
  </si>
  <si>
    <t>둔산실비주간보호센터 세출 총계</t>
  </si>
  <si>
    <t>11 입소비용수입</t>
  </si>
  <si>
    <t>04 보조금</t>
  </si>
  <si>
    <t xml:space="preserve">   수입</t>
  </si>
  <si>
    <t>41 보조금수입</t>
  </si>
  <si>
    <t>113 일용잡금</t>
  </si>
  <si>
    <t>412 운영보조금</t>
  </si>
  <si>
    <t>412 종사자수당</t>
  </si>
  <si>
    <t>115 퇴직금 및 퇴직적립금</t>
  </si>
  <si>
    <t>44  후원금수입</t>
  </si>
  <si>
    <t>116 사회보험부담금</t>
  </si>
  <si>
    <t>441 후원금수입</t>
  </si>
  <si>
    <t>117 기타후생경비</t>
  </si>
  <si>
    <t>118 종사자수당</t>
  </si>
  <si>
    <t>13 운영비</t>
  </si>
  <si>
    <t>07 이월금</t>
  </si>
  <si>
    <t>131 여비</t>
  </si>
  <si>
    <t>71 이월금</t>
  </si>
  <si>
    <t>132 수용비 및 수수료</t>
  </si>
  <si>
    <t>711 전년도이월금</t>
  </si>
  <si>
    <t>133 공공요금</t>
  </si>
  <si>
    <t>08  잡수입</t>
  </si>
  <si>
    <t>134 제세공과금</t>
  </si>
  <si>
    <t>81 잡수입</t>
  </si>
  <si>
    <t>811 수입이자</t>
  </si>
  <si>
    <t>135 차량비</t>
  </si>
  <si>
    <t>세               입</t>
  </si>
  <si>
    <t>세               출</t>
  </si>
  <si>
    <t>관</t>
  </si>
  <si>
    <t>항</t>
  </si>
  <si>
    <t>목</t>
  </si>
  <si>
    <t>05 예산(A)</t>
  </si>
  <si>
    <t>06 예산(B)</t>
  </si>
  <si>
    <t>증감 (B-A)</t>
  </si>
  <si>
    <t>액수</t>
  </si>
  <si>
    <t>비율(%)</t>
  </si>
  <si>
    <t>02 재산</t>
  </si>
  <si>
    <t>조성비</t>
  </si>
  <si>
    <t>21 시설비</t>
  </si>
  <si>
    <t>211 시설비</t>
  </si>
  <si>
    <t>212 자산취득비</t>
  </si>
  <si>
    <t>213 시설장비유지비</t>
  </si>
  <si>
    <t>03 사업비</t>
  </si>
  <si>
    <t>311 생계비</t>
  </si>
  <si>
    <t>33 사업비</t>
  </si>
  <si>
    <t>335 사업비</t>
  </si>
  <si>
    <t>07 잡지출</t>
  </si>
  <si>
    <t>ㅇ 정근수당</t>
  </si>
  <si>
    <t>직무수당</t>
  </si>
  <si>
    <t>가계보조비</t>
  </si>
  <si>
    <t>효도휴가비</t>
  </si>
  <si>
    <t>체력단련비</t>
  </si>
  <si>
    <t>직책수당</t>
  </si>
  <si>
    <t>국민연금</t>
  </si>
  <si>
    <t>고용보험</t>
  </si>
  <si>
    <t>ㅇ 기타후생경비</t>
  </si>
  <si>
    <t>급량비</t>
  </si>
  <si>
    <t>교통비</t>
  </si>
  <si>
    <t>야근식대비</t>
  </si>
  <si>
    <t>113   일용잡금</t>
  </si>
  <si>
    <t>ㅇ 일용잡금</t>
  </si>
  <si>
    <t>121  기관운영비</t>
  </si>
  <si>
    <t>ㅇ 수용비 및 수수료</t>
  </si>
  <si>
    <t>*2월=</t>
  </si>
  <si>
    <t>화재보험료(동산)</t>
  </si>
  <si>
    <t>화재보험료(부동산)</t>
  </si>
  <si>
    <t>136 직원연수 및 직원교육</t>
  </si>
  <si>
    <t>ㅇ 직원연수 및 교육</t>
  </si>
  <si>
    <t>직원연수</t>
  </si>
  <si>
    <t>직원교육</t>
  </si>
  <si>
    <t>직원인센티브제</t>
  </si>
  <si>
    <t>차량보험료</t>
  </si>
  <si>
    <t>자동차세</t>
  </si>
  <si>
    <t>운전자보험료</t>
  </si>
  <si>
    <t>책임보험료</t>
  </si>
  <si>
    <t>02 재  산</t>
  </si>
  <si>
    <t>31 운영비</t>
  </si>
  <si>
    <t>319 연료비</t>
  </si>
  <si>
    <t>2. 가족기능보완사업</t>
  </si>
  <si>
    <t>방과후아동보호</t>
  </si>
  <si>
    <t>현장학습</t>
  </si>
  <si>
    <t>자원봉사활동비</t>
  </si>
  <si>
    <t>청소년열린학교</t>
  </si>
  <si>
    <t>ㅇ 청소년열린학교</t>
  </si>
  <si>
    <t>진로탐색프로그램</t>
  </si>
  <si>
    <t>3. 가정문제해결치료</t>
  </si>
  <si>
    <t>학교사회사업</t>
  </si>
  <si>
    <t>ㅇ 학교사회사업</t>
  </si>
  <si>
    <t>*3회=</t>
  </si>
  <si>
    <t>장애인가정지원사업</t>
  </si>
  <si>
    <t>장애인간담회</t>
  </si>
  <si>
    <t>2. 보건의료서비스</t>
  </si>
  <si>
    <t>영정사진지원사업</t>
  </si>
  <si>
    <t>대민지원(심부름)</t>
  </si>
  <si>
    <t>노인실비주간보호</t>
  </si>
  <si>
    <t>희망공동체월례회</t>
  </si>
  <si>
    <t>장애인사회적응캠프</t>
  </si>
  <si>
    <t>2. 복지네트워크</t>
  </si>
  <si>
    <t>지역주민욕구조사</t>
  </si>
  <si>
    <t xml:space="preserve">   구축   사업</t>
  </si>
  <si>
    <t>둔산가족만남의밤</t>
  </si>
  <si>
    <t>5. 자원봉사자양성 및</t>
  </si>
  <si>
    <t>자원봉사자교육</t>
  </si>
  <si>
    <t>후원자개발 및 관리</t>
  </si>
  <si>
    <t>후원자관리</t>
  </si>
  <si>
    <t>교육문화사업</t>
  </si>
  <si>
    <t>1. 아동청소년 기능교육</t>
  </si>
  <si>
    <t>청소년컴퓨터교실</t>
  </si>
  <si>
    <t>타자정보사냥대회</t>
  </si>
  <si>
    <t>신노인건강교실</t>
  </si>
  <si>
    <t>5. 문화복지사업</t>
  </si>
  <si>
    <t>아동청소년기업탐방</t>
  </si>
  <si>
    <t>아동자연체험캠프</t>
  </si>
  <si>
    <t>자활사업</t>
  </si>
  <si>
    <t>1. 직업기능훈련</t>
  </si>
  <si>
    <t>주부컴퓨터 교실</t>
  </si>
  <si>
    <t>가사도우미사업</t>
  </si>
  <si>
    <t>3. 직업능력개발</t>
  </si>
  <si>
    <t>소풍</t>
  </si>
  <si>
    <t>연합캠프</t>
  </si>
  <si>
    <t>차량유지관리</t>
  </si>
  <si>
    <t>자원봉사자관리비</t>
  </si>
  <si>
    <t>342 장애인정보화사업비</t>
  </si>
  <si>
    <t>강사급여</t>
  </si>
  <si>
    <t>경로식당사업비</t>
  </si>
  <si>
    <t>새터민지원사업비</t>
  </si>
  <si>
    <t>06 부  채</t>
  </si>
  <si>
    <t>611 원금상환금</t>
  </si>
  <si>
    <t>예비비</t>
  </si>
  <si>
    <t>ㅇ 방과후아동보호</t>
  </si>
  <si>
    <t>ㅇ아동청소년컴퓨터교실</t>
  </si>
  <si>
    <t>보조금수입</t>
  </si>
  <si>
    <t>41 경상보조금수입</t>
  </si>
  <si>
    <t>이월금</t>
  </si>
  <si>
    <t>예금이자수입</t>
  </si>
  <si>
    <t>전기안전공사검사비</t>
  </si>
  <si>
    <t>대전사회복지관협회특별회비</t>
  </si>
  <si>
    <t>실업극복시민운동협회비</t>
  </si>
  <si>
    <t>한국사회복지관협회비</t>
  </si>
  <si>
    <t>대전사회복지관협회비</t>
  </si>
  <si>
    <t>대전사회복지협의회연회비</t>
  </si>
  <si>
    <t>ㅇ 직원연수 및 교육</t>
  </si>
  <si>
    <t>ㅇ 부모교육</t>
  </si>
  <si>
    <t>장애인 사회적응캠프</t>
  </si>
  <si>
    <t>지역주민대표자간담회</t>
  </si>
  <si>
    <t>홍보비(현수막제작)</t>
  </si>
  <si>
    <t>유급자원봉사활동비</t>
  </si>
  <si>
    <t>기타외부기관지원사업</t>
  </si>
  <si>
    <t>ㅇ 장애인정보화교육</t>
  </si>
  <si>
    <t>재가노인식사배달사업비</t>
  </si>
  <si>
    <t>사랑의저녁도시락사업비</t>
  </si>
  <si>
    <t>경로당활성화사업비</t>
  </si>
  <si>
    <t>*12월*7명=</t>
  </si>
  <si>
    <t>재가복지봉사센터 세출 총계</t>
  </si>
  <si>
    <t>사무비</t>
  </si>
  <si>
    <t>11 재가센터 인건비</t>
  </si>
  <si>
    <t>1. 과장(18)</t>
  </si>
  <si>
    <t>2. 사회복지사(3)</t>
  </si>
  <si>
    <t>*12월*2명=</t>
  </si>
  <si>
    <t>115   퇴직금 및 퇴직적립금</t>
  </si>
  <si>
    <t>13  재가센터 운영비</t>
  </si>
  <si>
    <t>자동차보험료</t>
  </si>
  <si>
    <t>*2회</t>
  </si>
  <si>
    <t>ㅇ 차량관리유지비</t>
  </si>
  <si>
    <t>재가복지사업비</t>
  </si>
  <si>
    <t>335 대상자관리사업</t>
  </si>
  <si>
    <t>ㅇ 대상자관리사업</t>
  </si>
  <si>
    <t>상담 및 사례관리</t>
  </si>
  <si>
    <t>336 가사서비스사업</t>
  </si>
  <si>
    <t>337 정서적서비스사업</t>
  </si>
  <si>
    <t>어르신나들이</t>
  </si>
  <si>
    <t>339 간병서비스사업</t>
  </si>
  <si>
    <t>병원동행서비스</t>
  </si>
  <si>
    <t>방문간호서비스</t>
  </si>
  <si>
    <t>340 사회적서비스사업</t>
  </si>
  <si>
    <t>행정업무대행서비스</t>
  </si>
  <si>
    <t>341 자원봉사자양성관리사업</t>
  </si>
  <si>
    <t>자원봉사자간담회</t>
  </si>
  <si>
    <t>342 결연사업 및 후원활동</t>
  </si>
  <si>
    <t>후원자개발,관리</t>
  </si>
  <si>
    <t>결연금지급서비스</t>
  </si>
  <si>
    <t>홍보물제작</t>
  </si>
  <si>
    <t>ㅇ 예비비</t>
  </si>
  <si>
    <t>재가복지봉사센터 세입 총계</t>
  </si>
  <si>
    <t>411 재가복지 인건비</t>
  </si>
  <si>
    <t>ㅇ 재가복지 인건비</t>
  </si>
  <si>
    <t>412 재가복지 운영비</t>
  </si>
  <si>
    <t>ㅇ 재가복지후원금</t>
  </si>
  <si>
    <t>비지정후원금(운영비지원)</t>
  </si>
  <si>
    <t>611 전입금</t>
  </si>
  <si>
    <t>전년도이월금</t>
  </si>
  <si>
    <t>ㅇ 가계지원비</t>
  </si>
  <si>
    <t>*0.7%=</t>
  </si>
  <si>
    <t>생활지도원</t>
  </si>
  <si>
    <t>간호조무사</t>
  </si>
  <si>
    <t>13  주간보호 운영비</t>
  </si>
  <si>
    <t>텔레비전유선요금</t>
  </si>
  <si>
    <t>*12회</t>
  </si>
  <si>
    <t>*6회</t>
  </si>
  <si>
    <t>*1월=</t>
  </si>
  <si>
    <t>ㅇ 차량유지관리비</t>
  </si>
  <si>
    <t>311 생계비</t>
  </si>
  <si>
    <t>ㅇ 주,부식비(9명)</t>
  </si>
  <si>
    <t>335 주간보호사업비</t>
  </si>
  <si>
    <t>도예치료</t>
  </si>
  <si>
    <t>종이접기</t>
  </si>
  <si>
    <t>발관리</t>
  </si>
  <si>
    <t>예능활동</t>
  </si>
  <si>
    <t>생신잔치</t>
  </si>
  <si>
    <t>작업치료</t>
  </si>
  <si>
    <t>인지활동</t>
  </si>
  <si>
    <t>가족간담회</t>
  </si>
  <si>
    <t>자원봉사간담회</t>
  </si>
  <si>
    <t>홍보</t>
  </si>
  <si>
    <t>ㅇ 입소자비용</t>
  </si>
  <si>
    <t>1. 생활지도원(3)</t>
  </si>
  <si>
    <t>기타잡수입</t>
  </si>
  <si>
    <t>81 예비비</t>
  </si>
  <si>
    <t>811 예비비</t>
  </si>
  <si>
    <t>04 보조금</t>
  </si>
  <si>
    <t>계</t>
  </si>
  <si>
    <t>보조금수입</t>
  </si>
  <si>
    <t xml:space="preserve">    수   입</t>
  </si>
  <si>
    <t>41 경상보조금수입</t>
  </si>
  <si>
    <t>소계</t>
  </si>
  <si>
    <t>411 경상보조금수입</t>
  </si>
  <si>
    <t>412 종사자특별수당</t>
  </si>
  <si>
    <t>43 후원금수입</t>
  </si>
  <si>
    <t>441 후원금</t>
  </si>
  <si>
    <t>*12월=</t>
  </si>
  <si>
    <t>*10회=</t>
  </si>
  <si>
    <t>*9회=</t>
  </si>
  <si>
    <t>*4회=</t>
  </si>
  <si>
    <t>*2회=</t>
  </si>
  <si>
    <t>(단위 : 천원)</t>
  </si>
  <si>
    <t>관</t>
  </si>
  <si>
    <t>항</t>
  </si>
  <si>
    <t>목</t>
  </si>
  <si>
    <t>증감(B-A)</t>
  </si>
  <si>
    <t>액수</t>
  </si>
  <si>
    <t>비율</t>
  </si>
  <si>
    <t>계</t>
  </si>
  <si>
    <t>사업수입</t>
  </si>
  <si>
    <t>21 사업수입</t>
  </si>
  <si>
    <t>소계</t>
  </si>
  <si>
    <t>211 가족복지사업</t>
  </si>
  <si>
    <t>*15명=</t>
  </si>
  <si>
    <t>212 지역사회조직사업</t>
  </si>
  <si>
    <t>213 교육문화사업</t>
  </si>
  <si>
    <t>ㅇ 장애아동교육비</t>
  </si>
  <si>
    <t>04 보조금</t>
  </si>
  <si>
    <t>보조금수입</t>
  </si>
  <si>
    <t xml:space="preserve">    수   입</t>
  </si>
  <si>
    <t>41 경상보조금수입</t>
  </si>
  <si>
    <t>경상보조금수입</t>
  </si>
  <si>
    <t>411 사회복지관 인건비</t>
  </si>
  <si>
    <t>411 장애아동탁아방 인건비</t>
  </si>
  <si>
    <t>411 이동목욕차 인건비</t>
  </si>
  <si>
    <t>ㅇ 이동목욕차인건비</t>
  </si>
  <si>
    <t>411 종사자특별수당</t>
  </si>
  <si>
    <t>ㅇ 종사자특별수당</t>
  </si>
  <si>
    <t>412 사회복지관 운영비</t>
  </si>
  <si>
    <t>412 장애아동탁아방 운영비</t>
  </si>
  <si>
    <t>412 이동목욕차운영비</t>
  </si>
  <si>
    <t>412 프로그램운영비</t>
  </si>
  <si>
    <t>ㅇ 프로그램 운영비</t>
  </si>
  <si>
    <t>43 기타보조금수입</t>
  </si>
  <si>
    <t>기타보조금수입</t>
  </si>
  <si>
    <t>431 경로식당사업비</t>
  </si>
  <si>
    <t>서구청 지원</t>
  </si>
  <si>
    <t>431 식사배달사업비</t>
  </si>
  <si>
    <t>431 사랑의 저녁도시락사업비</t>
  </si>
  <si>
    <t>431 새터민지원사업비</t>
  </si>
  <si>
    <t>대전시청 지원</t>
  </si>
  <si>
    <t>432 장애인정보화사업비</t>
  </si>
  <si>
    <t>정보문화진흥원 지원</t>
  </si>
  <si>
    <t>432 경로당활성화사업비</t>
  </si>
  <si>
    <t>대전교육청</t>
  </si>
  <si>
    <t>43 후원금수입</t>
  </si>
  <si>
    <t>후원금수입</t>
  </si>
  <si>
    <t>수  입</t>
  </si>
  <si>
    <t>441 후원금</t>
  </si>
  <si>
    <t>05 차입금</t>
  </si>
  <si>
    <t>51 차입금</t>
  </si>
  <si>
    <t>512 차입금</t>
  </si>
  <si>
    <t>06 전입금</t>
  </si>
  <si>
    <t>61 법인전입금</t>
  </si>
  <si>
    <t>07 이월금</t>
  </si>
  <si>
    <t>이월금</t>
  </si>
  <si>
    <t>71 이월금</t>
  </si>
  <si>
    <t>사회복지관이월금</t>
  </si>
  <si>
    <t>장애아동이월금</t>
  </si>
  <si>
    <t>이동목욕이월금</t>
  </si>
  <si>
    <t>08 잡수입</t>
  </si>
  <si>
    <t>잡수입</t>
  </si>
  <si>
    <t>81 잡수입</t>
  </si>
  <si>
    <t>812 이자수입</t>
  </si>
  <si>
    <t>예금이자수입</t>
  </si>
  <si>
    <t>813 기타잡수입</t>
  </si>
  <si>
    <t>대전공동모금회 지원</t>
  </si>
  <si>
    <t>ㅇ 사회복지 관인건비</t>
  </si>
  <si>
    <t>자동차환경개선부담금</t>
  </si>
  <si>
    <t>611 사회복지관전입금</t>
  </si>
  <si>
    <t>08 예비비</t>
  </si>
  <si>
    <t>2. 간호조무사(1)</t>
  </si>
  <si>
    <t>*9월=</t>
  </si>
  <si>
    <t>간호조무사 수습급여</t>
  </si>
  <si>
    <t>운전기사(회계) 수습급여</t>
  </si>
  <si>
    <t>*3월=</t>
  </si>
  <si>
    <t>*50%*4회=</t>
  </si>
  <si>
    <t>*50%*3회=</t>
  </si>
  <si>
    <t>*60%*2회=</t>
  </si>
  <si>
    <t>*50%*2회=</t>
  </si>
  <si>
    <t>가계보조수당(3)</t>
  </si>
  <si>
    <t>가계보조수당(1)</t>
  </si>
  <si>
    <t>명절휴가비(3)</t>
  </si>
  <si>
    <t>명절휴가비(1)</t>
  </si>
  <si>
    <t>특수근무수당(3)</t>
  </si>
  <si>
    <t>특수근무수당(1)</t>
  </si>
  <si>
    <t>*1명*9월=</t>
  </si>
  <si>
    <t>*2.24%=</t>
  </si>
  <si>
    <t>*3명*12월=</t>
  </si>
  <si>
    <t>ㅇ 종사자특별수당</t>
  </si>
  <si>
    <t>ㅇ주간보호운영보조금</t>
  </si>
  <si>
    <t>*0.45%=</t>
  </si>
  <si>
    <t>*8명*12월=</t>
  </si>
  <si>
    <t>ㅇ 간식비(9명)</t>
  </si>
  <si>
    <t>318 특별급식비</t>
  </si>
  <si>
    <t>2. 대리(7)</t>
  </si>
  <si>
    <t>3. 대리(7)</t>
  </si>
  <si>
    <t>2. 사회복지사(3)</t>
  </si>
  <si>
    <t>*60%*1월=</t>
  </si>
  <si>
    <t>*50%*1월=</t>
  </si>
  <si>
    <t>*25%*1월=</t>
  </si>
  <si>
    <t>*2명*2월=</t>
  </si>
  <si>
    <t>*2명*10월=</t>
  </si>
  <si>
    <t>*1명*10월=</t>
  </si>
  <si>
    <t>*80%*1월=</t>
  </si>
  <si>
    <t>*9월*1명=</t>
  </si>
  <si>
    <t>*6명*12월=</t>
  </si>
  <si>
    <t>ㅇ 급여</t>
  </si>
  <si>
    <t>1. 관장(19)</t>
  </si>
  <si>
    <t>*6월=</t>
  </si>
  <si>
    <t xml:space="preserve">   관장(20)</t>
  </si>
  <si>
    <t>2. 부장(12)</t>
  </si>
  <si>
    <t>*12월=</t>
  </si>
  <si>
    <t>3. 대리(9)</t>
  </si>
  <si>
    <t xml:space="preserve">   대리(10)</t>
  </si>
  <si>
    <t>4. 대리(7)</t>
  </si>
  <si>
    <t>*2월=</t>
  </si>
  <si>
    <t>5. 사회복지사(3)</t>
  </si>
  <si>
    <t>*4월=</t>
  </si>
  <si>
    <t xml:space="preserve">    사회복지사(4)</t>
  </si>
  <si>
    <t>6. 사회복지사(2)</t>
  </si>
  <si>
    <t xml:space="preserve">   사회복지사(3)</t>
  </si>
  <si>
    <t>*9월=</t>
  </si>
  <si>
    <t>8. 노무 (14)</t>
  </si>
  <si>
    <t>ㅇ 기말수당</t>
  </si>
  <si>
    <t>*200%=</t>
  </si>
  <si>
    <t>*400%=</t>
  </si>
  <si>
    <t>4. 사회복지사(3)</t>
  </si>
  <si>
    <t>5. 사회복지사(2)</t>
  </si>
  <si>
    <t>*300%=</t>
  </si>
  <si>
    <t>7. 노무 (14)</t>
  </si>
  <si>
    <t>ㅇ 정근수당</t>
  </si>
  <si>
    <t>*100%=</t>
  </si>
  <si>
    <t>*100%*2월=</t>
  </si>
  <si>
    <t>*90%=</t>
  </si>
  <si>
    <t>*95%=</t>
  </si>
  <si>
    <t>*80%=</t>
  </si>
  <si>
    <t>5. 사회복지사(4)</t>
  </si>
  <si>
    <t>*65%=</t>
  </si>
  <si>
    <t>*55%=</t>
  </si>
  <si>
    <t>*60%=</t>
  </si>
  <si>
    <t>7. 서무(1)</t>
  </si>
  <si>
    <t>*50%*1월=</t>
  </si>
  <si>
    <t>*11월=</t>
  </si>
  <si>
    <t>*8명*12월</t>
  </si>
  <si>
    <t>*1명*9월</t>
  </si>
  <si>
    <t>종사자특별수당여입금</t>
  </si>
  <si>
    <t>*5회=</t>
  </si>
  <si>
    <t>특별활동</t>
  </si>
  <si>
    <t>과학탐구교실</t>
  </si>
  <si>
    <t>미술활동</t>
  </si>
  <si>
    <t>*6회=</t>
  </si>
  <si>
    <t>영어체험교실</t>
  </si>
  <si>
    <t>ㅇ 별도회계</t>
  </si>
  <si>
    <t>인터넷중독예방프로그램</t>
  </si>
  <si>
    <t>ㅇ 인터넷중독예방프로그램</t>
  </si>
  <si>
    <t>장애아동통합교육</t>
  </si>
  <si>
    <t>청소년보호관찰사업</t>
  </si>
  <si>
    <t>이미용서비스</t>
  </si>
  <si>
    <t>*2회=</t>
  </si>
  <si>
    <t>경로당발전협의회간담회</t>
  </si>
  <si>
    <t>삼천동새마을부녀회간담회</t>
  </si>
  <si>
    <t>생일축하</t>
  </si>
  <si>
    <t>유류비</t>
  </si>
  <si>
    <t>*12월=</t>
  </si>
  <si>
    <t>유지보수비</t>
  </si>
  <si>
    <t>*10월=</t>
  </si>
  <si>
    <t>ㅇ 목욕서비스</t>
  </si>
  <si>
    <t>목욕서비스물품구입비</t>
  </si>
  <si>
    <t>가스구입비</t>
  </si>
  <si>
    <t>홍보팜플렛 및 현수막</t>
  </si>
  <si>
    <t>ㅇ 주부컴퓨터교실수강료</t>
  </si>
  <si>
    <t>*4명*12월=</t>
  </si>
  <si>
    <t>214 자활사업</t>
  </si>
  <si>
    <t>215 장애아동탁아방</t>
  </si>
  <si>
    <t>*4회=</t>
  </si>
  <si>
    <t>기관방문</t>
  </si>
  <si>
    <t>가사도우미교육</t>
  </si>
  <si>
    <t>가사도우미간담회</t>
  </si>
  <si>
    <t>*5명*12월=</t>
  </si>
  <si>
    <t>13  장애아동운영비</t>
  </si>
  <si>
    <t>지역주민욕구조사</t>
  </si>
  <si>
    <t>실습생지도사업</t>
  </si>
  <si>
    <t>공예교실</t>
  </si>
  <si>
    <t>요술풍선</t>
  </si>
  <si>
    <t>풍선공예자격증반</t>
  </si>
  <si>
    <t>공예교실 강사비</t>
  </si>
  <si>
    <t>*8주*4기=</t>
  </si>
  <si>
    <t>요술풍선 재료비</t>
  </si>
  <si>
    <t>*10팀=</t>
  </si>
  <si>
    <t>자격증반 강사비</t>
  </si>
  <si>
    <t>*12회*2기=</t>
  </si>
  <si>
    <t>2. 성인기능교육</t>
  </si>
  <si>
    <t>3. 어르신여가문화사업</t>
  </si>
  <si>
    <t>어학프로그램</t>
  </si>
  <si>
    <t>경로당활성화사업</t>
  </si>
  <si>
    <t>별도회계(교육청지원)</t>
  </si>
  <si>
    <t>서예교실 재료비</t>
  </si>
  <si>
    <t>한문기초 교재비</t>
  </si>
  <si>
    <t>일본어 기초 교재비</t>
  </si>
  <si>
    <t>*10권=</t>
  </si>
  <si>
    <t>수중운동 강사비</t>
  </si>
  <si>
    <t>*28회=</t>
  </si>
  <si>
    <t>수영장 입장료</t>
  </si>
  <si>
    <t>*28*14명=</t>
  </si>
  <si>
    <t>기체조 강사비</t>
  </si>
  <si>
    <t>*30회=</t>
  </si>
  <si>
    <t>건강프로그램</t>
  </si>
  <si>
    <t>장수춤체조 강사비</t>
  </si>
  <si>
    <t>교육기자재구입</t>
  </si>
  <si>
    <t>댄스스포츠 강사비</t>
  </si>
  <si>
    <t>마음을여는 은빛교실</t>
  </si>
  <si>
    <t>별도회계(공동모금회지원)</t>
  </si>
  <si>
    <t>의상및 안무연습지원</t>
  </si>
  <si>
    <t>사업준비비</t>
  </si>
  <si>
    <t>홍보비</t>
  </si>
  <si>
    <t>현수막 제작 등 홍보비</t>
  </si>
  <si>
    <t>ㅇ 아동컴퓨터교실 월회비</t>
  </si>
  <si>
    <t>ㅇ 청소년컴퓨터교실 월회비</t>
  </si>
  <si>
    <t>ㅇ 공예교실 월회비</t>
  </si>
  <si>
    <t>ㅇ 풍선공예자격증반</t>
  </si>
  <si>
    <t>ㅇ 신노인건강교실  회비</t>
  </si>
  <si>
    <t>ㅇ 아동차연체험 캠프 회비</t>
  </si>
  <si>
    <t>ㅇ 청소년자연체험캠프 회비</t>
  </si>
  <si>
    <t>*20명*4기=</t>
  </si>
  <si>
    <t>ㅇ 요술풍선 재료비</t>
  </si>
  <si>
    <t>*15명*3월*2기=</t>
  </si>
  <si>
    <t>*20명*2학기=</t>
  </si>
  <si>
    <t>*30명=</t>
  </si>
  <si>
    <t>*30명=</t>
  </si>
  <si>
    <t>ㅇ 방과후교실 간식비</t>
  </si>
  <si>
    <t>ㅇ 실습생 지도비</t>
  </si>
  <si>
    <t>351 마음을여는 은빛교실</t>
  </si>
  <si>
    <t>마음을여는은빛교실</t>
  </si>
  <si>
    <t>431 마음을여는 은빛교실</t>
  </si>
  <si>
    <t>ㅇ 장애아동탁아방 운영비</t>
  </si>
  <si>
    <t>ㅇ 사회복지관 운영비</t>
  </si>
  <si>
    <t>ㅇ 장애아동탁아방 인건비</t>
  </si>
  <si>
    <t>급식서비스</t>
  </si>
  <si>
    <t>가족지원서비스</t>
  </si>
  <si>
    <t>개별지도교육재료비</t>
  </si>
  <si>
    <t>그룹지도도서구입비</t>
  </si>
  <si>
    <t>*월2회*10월=</t>
  </si>
  <si>
    <t>*20명*1회=</t>
  </si>
  <si>
    <t>*9명=</t>
  </si>
  <si>
    <t>*9명*1회=</t>
  </si>
  <si>
    <t>가족간담회</t>
  </si>
  <si>
    <t>가족심리검사</t>
  </si>
  <si>
    <t>자원봉사자관리</t>
  </si>
  <si>
    <t>자원봉사자관리및간담회</t>
  </si>
  <si>
    <t>ㅇ 비지정후원금(사회복지관)</t>
  </si>
  <si>
    <t>ㅇ 비지정후원금(이동목욕)</t>
  </si>
  <si>
    <t>가사도우미파견사업</t>
  </si>
  <si>
    <t>생신축하서비스</t>
  </si>
  <si>
    <t>사랑의손자손녀맺기</t>
  </si>
  <si>
    <t>338 보건의료서비스사업</t>
  </si>
  <si>
    <t>ㅇ 이미용서비스</t>
  </si>
  <si>
    <t>ㅇ 정기의료검진</t>
  </si>
  <si>
    <t>자원봉사자 관리</t>
  </si>
  <si>
    <t>자원봉사자모집</t>
  </si>
  <si>
    <t>주민건강교육</t>
  </si>
  <si>
    <t xml:space="preserve">     조성비</t>
  </si>
  <si>
    <t>ㅇ 기금조성사업</t>
  </si>
  <si>
    <t>만성질환자가정지원사업</t>
  </si>
  <si>
    <t>만성질환자 건강교육</t>
  </si>
  <si>
    <t>11 주간보호인건비</t>
  </si>
  <si>
    <t>02 사업수입</t>
  </si>
  <si>
    <t>(2) 둔산실비주간보호센타 세입내역</t>
  </si>
  <si>
    <t>431 마음을여는은빛교실</t>
  </si>
  <si>
    <t>441 후원금</t>
  </si>
  <si>
    <t>318 특별급식비</t>
  </si>
  <si>
    <t>338 보건의료서비스사업</t>
  </si>
  <si>
    <t>341 자원봉사양성관리</t>
  </si>
  <si>
    <t>2006년도  재가복지봉사센터 세입.세출 추경예산(안)</t>
  </si>
  <si>
    <t>2006년도 둔산실비주간보호센터 세입.세출 추경예산(안)</t>
  </si>
  <si>
    <t>(2) 사회복지관 세입내역</t>
  </si>
  <si>
    <t>(2) 재가복지봉사센터 세입내역</t>
  </si>
  <si>
    <t>ㅇ 재가복지 운영비</t>
  </si>
  <si>
    <t>ㅇ 실습생 지도비</t>
  </si>
  <si>
    <t>7. 서무(1)</t>
  </si>
  <si>
    <t>6. 서무(1)</t>
  </si>
  <si>
    <t>법인전입금</t>
  </si>
  <si>
    <t>총계</t>
  </si>
  <si>
    <t>213 교육문화</t>
  </si>
  <si>
    <t>114 제수당</t>
  </si>
  <si>
    <t>214 자활사업</t>
  </si>
  <si>
    <t>115 퇴직금 및 퇴직적립금</t>
  </si>
  <si>
    <t>215 장애아동</t>
  </si>
  <si>
    <t>116 사회보험부담금</t>
  </si>
  <si>
    <t>계</t>
  </si>
  <si>
    <t>117 기타후생경비</t>
  </si>
  <si>
    <t>41 경상보조금</t>
  </si>
  <si>
    <t>소계</t>
  </si>
  <si>
    <t>118 종사자특별수당</t>
  </si>
  <si>
    <t>411 사회복지관 인건비</t>
  </si>
  <si>
    <t>11 장애아동</t>
  </si>
  <si>
    <t>411 장애아동 인건비</t>
  </si>
  <si>
    <t xml:space="preserve">     인건비</t>
  </si>
  <si>
    <t>111 급여</t>
  </si>
  <si>
    <t>411 이동목욕차 인건비</t>
  </si>
  <si>
    <t>112 상여금</t>
  </si>
  <si>
    <t>411 종사자수당</t>
  </si>
  <si>
    <t>412 사회복지관 운영비</t>
  </si>
  <si>
    <t>412 장애아동 운영비</t>
  </si>
  <si>
    <t>412 이동목욕 운영비</t>
  </si>
  <si>
    <t>412 프로그램운영비</t>
  </si>
  <si>
    <t>43 기타보조금</t>
  </si>
  <si>
    <t>11 이동목욕</t>
  </si>
  <si>
    <t xml:space="preserve">     수     입</t>
  </si>
  <si>
    <t>431 경로식당</t>
  </si>
  <si>
    <t>431 식사배달</t>
  </si>
  <si>
    <t>431 사랑의저녁도시락</t>
  </si>
  <si>
    <t>113 일용잡금</t>
  </si>
  <si>
    <t>431 새터민지원사업</t>
  </si>
  <si>
    <t>세               입</t>
  </si>
  <si>
    <t>세               출</t>
  </si>
  <si>
    <t>06 예산(A)</t>
  </si>
  <si>
    <t>06 추경(B)</t>
  </si>
  <si>
    <t>432 장애인정보화사업비</t>
  </si>
  <si>
    <t>01  사무비</t>
  </si>
  <si>
    <t>432 경로당활성화사업</t>
  </si>
  <si>
    <t>12 업무추진비</t>
  </si>
  <si>
    <t>121 기관운영비</t>
  </si>
  <si>
    <t>44 후원금수입</t>
  </si>
  <si>
    <t>122 직책보조비</t>
  </si>
  <si>
    <t>123 회의비</t>
  </si>
  <si>
    <t>05 차입금</t>
  </si>
  <si>
    <t>13 사회복지관운영비</t>
  </si>
  <si>
    <t>51 차입금</t>
  </si>
  <si>
    <t>512 개인차입금</t>
  </si>
  <si>
    <t>131 여비</t>
  </si>
  <si>
    <t>06  전입금</t>
  </si>
  <si>
    <t>132 수용비 및 수수료</t>
  </si>
  <si>
    <t>61 법인전입금</t>
  </si>
  <si>
    <t>611 법인전입금</t>
  </si>
  <si>
    <t>133 공공요금</t>
  </si>
  <si>
    <t>07   이월금</t>
  </si>
  <si>
    <t>134 제세공과금</t>
  </si>
  <si>
    <t>71 이월금</t>
  </si>
  <si>
    <t>137 직원연수.교육</t>
  </si>
  <si>
    <t>711 사회복지관</t>
  </si>
  <si>
    <t>13 장애아동 운영비</t>
  </si>
  <si>
    <t>711 장애아동</t>
  </si>
  <si>
    <t>13 이동목욕 운영비</t>
  </si>
  <si>
    <t>711 이동목욕</t>
  </si>
  <si>
    <t>02 재  산</t>
  </si>
  <si>
    <t>08  잡수입</t>
  </si>
  <si>
    <t>조 성 비</t>
  </si>
  <si>
    <t>21 시설비</t>
  </si>
  <si>
    <t>81 잡수입</t>
  </si>
  <si>
    <t>211 시설비</t>
  </si>
  <si>
    <t>812 이자수입</t>
  </si>
  <si>
    <t>212 자산취득비</t>
  </si>
  <si>
    <t>813 기타잡수입</t>
  </si>
  <si>
    <t>213 시설장비유지비</t>
  </si>
  <si>
    <t>31 운영비</t>
  </si>
  <si>
    <t>319 연료비</t>
  </si>
  <si>
    <t>33 사회복지관</t>
  </si>
  <si>
    <t>사업비</t>
  </si>
  <si>
    <t>335 가족복지사업</t>
  </si>
  <si>
    <t>336 지역사회보호사업</t>
  </si>
  <si>
    <t>337 지역사회조직사업</t>
  </si>
  <si>
    <t>338 교육문화사업</t>
  </si>
  <si>
    <t>339 자활사업</t>
  </si>
  <si>
    <t>33 장애아동</t>
  </si>
  <si>
    <t>340 장애아동사업비 계</t>
  </si>
  <si>
    <t>33 이동목욕</t>
  </si>
  <si>
    <t>341 이동목욕사업비 계</t>
  </si>
  <si>
    <t>차량유지관리비</t>
  </si>
  <si>
    <t>목욕서비스</t>
  </si>
  <si>
    <t>자원봉사자관리</t>
  </si>
  <si>
    <t>홍보비</t>
  </si>
  <si>
    <t>33 기타사업비</t>
  </si>
  <si>
    <t>342 장애인정보화교육</t>
  </si>
  <si>
    <t>343 경로식당사업비</t>
  </si>
  <si>
    <t>344 재가노인식사배달사업비</t>
  </si>
  <si>
    <t>347 사랑의저녁도시락사업비</t>
  </si>
  <si>
    <t>348 새터민지원사업비</t>
  </si>
  <si>
    <t>349 경로당활성화사업비</t>
  </si>
  <si>
    <t>351 어르신정서지원프로그램</t>
  </si>
  <si>
    <t>06 부채</t>
  </si>
  <si>
    <t xml:space="preserve">  상환금</t>
  </si>
  <si>
    <t>61 부채상환금</t>
  </si>
  <si>
    <t>611 원금상환금</t>
  </si>
  <si>
    <t>07  잡지출</t>
  </si>
  <si>
    <t>71 잡지출</t>
  </si>
  <si>
    <t>711 잡지출</t>
  </si>
  <si>
    <t>08  예비비</t>
  </si>
  <si>
    <t>81 예비비</t>
  </si>
  <si>
    <t>811 예비비</t>
  </si>
  <si>
    <t>세               입</t>
  </si>
  <si>
    <t>세               출</t>
  </si>
  <si>
    <t>관</t>
  </si>
  <si>
    <t>항</t>
  </si>
  <si>
    <t>목</t>
  </si>
  <si>
    <t>06 예산(A)</t>
  </si>
  <si>
    <t>06 추경(B)</t>
  </si>
  <si>
    <t>증감 (B-A)</t>
  </si>
  <si>
    <t>액수</t>
  </si>
  <si>
    <t>비율(%)</t>
  </si>
  <si>
    <t>총계</t>
  </si>
  <si>
    <t>02 사업수입</t>
  </si>
  <si>
    <t>계</t>
  </si>
  <si>
    <t>01  사무비</t>
  </si>
  <si>
    <t>21 사업수입</t>
  </si>
  <si>
    <t>소계</t>
  </si>
  <si>
    <t>11 사회복지관</t>
  </si>
  <si>
    <t>211 가족복지</t>
  </si>
  <si>
    <t xml:space="preserve">     인건비</t>
  </si>
  <si>
    <t>111 급여</t>
  </si>
  <si>
    <t>212 지역사회조직</t>
  </si>
  <si>
    <t>112 상여금</t>
  </si>
  <si>
    <t>세입 총계</t>
  </si>
  <si>
    <t>06추경(B)</t>
  </si>
  <si>
    <t>2006년 추경예산 산출내역</t>
  </si>
  <si>
    <t>431 원어민영어교실</t>
  </si>
  <si>
    <t>교육청 지원사업</t>
  </si>
  <si>
    <t>교육청 지원사업</t>
  </si>
  <si>
    <t>ㅇ 종사자수당반납분</t>
  </si>
  <si>
    <t>352 원어민영어교실</t>
  </si>
  <si>
    <t>353 열린마음정신보건교실</t>
  </si>
  <si>
    <t>모나한마당</t>
  </si>
  <si>
    <t>모나한마당</t>
  </si>
  <si>
    <t>431 열린마음정신보건교실</t>
  </si>
  <si>
    <t>ㅇ 모나한마당</t>
  </si>
  <si>
    <t>ㅇ 기능보강사업비</t>
  </si>
  <si>
    <t>사무기기 및 비품 구입</t>
  </si>
  <si>
    <t>열린마음정신보건교실</t>
  </si>
  <si>
    <t>원어민영어교실</t>
  </si>
  <si>
    <t>인쇄비(소식지 등)</t>
  </si>
  <si>
    <t>*50명=</t>
  </si>
  <si>
    <t>기타수입(보험료 환급분 등)</t>
  </si>
  <si>
    <t>ㅇ 시설비</t>
  </si>
  <si>
    <t>412 기능보강사업비</t>
  </si>
  <si>
    <t>*50명=</t>
  </si>
  <si>
    <t>ㅇ 시설기능보강사업</t>
  </si>
  <si>
    <t>ㅇ 이동목욕차 운영비</t>
  </si>
  <si>
    <t>별도회계</t>
  </si>
  <si>
    <t>352 원어민영어교실</t>
  </si>
  <si>
    <t>351 열린마음정신보건교실</t>
  </si>
  <si>
    <t>431 원어민영어교실</t>
  </si>
  <si>
    <t>731 열린마음보건교실</t>
  </si>
  <si>
    <t>04 보조금수입</t>
  </si>
  <si>
    <t>생활비 및 긴급지원서비스</t>
  </si>
  <si>
    <t>생활비 및 긴급지원사업</t>
  </si>
  <si>
    <t>2006년 제 2차 둔산종합사회복지관  추경예산서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</si>
</sst>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0.0_);&quot;△&quot;0.0"/>
    <numFmt numFmtId="179" formatCode="#,##0.0_ "/>
    <numFmt numFmtId="180" formatCode="#,##0.0_);&quot;△&quot;#,##0.0"/>
    <numFmt numFmtId="181" formatCode="_-* #,##0.0_-;\-* #,##0.0_-;_-* &quot;-&quot;?_-;_-@_-"/>
  </numFmts>
  <fonts count="1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b/>
      <sz val="11"/>
      <name val="HY신명조"/>
      <family val="1"/>
    </font>
    <font>
      <b/>
      <sz val="20"/>
      <name val="HY신명조"/>
      <family val="1"/>
    </font>
    <font>
      <b/>
      <sz val="14"/>
      <name val="HY신명조"/>
      <family val="1"/>
    </font>
    <font>
      <sz val="9"/>
      <name val="HY신명조"/>
      <family val="1"/>
    </font>
    <font>
      <sz val="6"/>
      <name val="HY신명조"/>
      <family val="1"/>
    </font>
    <font>
      <sz val="8"/>
      <name val="HY신명조"/>
      <family val="1"/>
    </font>
    <font>
      <sz val="11"/>
      <name val="HY신명조"/>
      <family val="1"/>
    </font>
    <font>
      <sz val="10"/>
      <name val="HY신명조"/>
      <family val="1"/>
    </font>
    <font>
      <b/>
      <sz val="9"/>
      <name val="HY신명조"/>
      <family val="1"/>
    </font>
  </fonts>
  <fills count="3">
    <fill>
      <patternFill/>
    </fill>
    <fill>
      <patternFill patternType="gray125"/>
    </fill>
    <fill>
      <patternFill patternType="lightGray">
        <fgColor indexed="9"/>
        <bgColor indexed="9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Border="1" applyAlignment="1">
      <alignment/>
    </xf>
    <xf numFmtId="176" fontId="8" fillId="0" borderId="0" xfId="0" applyNumberFormat="1" applyFont="1" applyAlignme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7" fontId="9" fillId="0" borderId="3" xfId="17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/>
    </xf>
    <xf numFmtId="177" fontId="9" fillId="0" borderId="6" xfId="17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7" fontId="9" fillId="0" borderId="10" xfId="17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left" vertical="center"/>
    </xf>
    <xf numFmtId="178" fontId="9" fillId="0" borderId="11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left" vertical="center"/>
    </xf>
    <xf numFmtId="179" fontId="9" fillId="0" borderId="1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7" fontId="9" fillId="0" borderId="16" xfId="17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left" vertical="center"/>
    </xf>
    <xf numFmtId="179" fontId="9" fillId="0" borderId="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8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vertical="center" wrapText="1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vertical="center" wrapText="1"/>
    </xf>
    <xf numFmtId="177" fontId="9" fillId="0" borderId="6" xfId="17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7" fontId="9" fillId="0" borderId="18" xfId="17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177" fontId="9" fillId="0" borderId="7" xfId="17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center" vertical="center" wrapText="1"/>
    </xf>
    <xf numFmtId="179" fontId="9" fillId="0" borderId="24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left" vertical="center" wrapText="1"/>
    </xf>
    <xf numFmtId="176" fontId="9" fillId="0" borderId="14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6" fontId="9" fillId="0" borderId="3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horizontal="left" vertical="center"/>
    </xf>
    <xf numFmtId="179" fontId="9" fillId="0" borderId="1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horizontal="left" vertical="center"/>
    </xf>
    <xf numFmtId="176" fontId="11" fillId="0" borderId="14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80" fontId="9" fillId="0" borderId="30" xfId="0" applyNumberFormat="1" applyFont="1" applyBorder="1" applyAlignment="1">
      <alignment vertical="center"/>
    </xf>
    <xf numFmtId="0" fontId="12" fillId="0" borderId="5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179" fontId="9" fillId="0" borderId="6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left" vertical="center"/>
    </xf>
    <xf numFmtId="179" fontId="9" fillId="0" borderId="27" xfId="0" applyNumberFormat="1" applyFont="1" applyBorder="1" applyAlignment="1">
      <alignment vertical="center"/>
    </xf>
    <xf numFmtId="179" fontId="9" fillId="0" borderId="3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horizontal="right" vertical="center"/>
    </xf>
    <xf numFmtId="180" fontId="9" fillId="0" borderId="8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right" vertical="center"/>
    </xf>
    <xf numFmtId="180" fontId="9" fillId="0" borderId="27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8" fontId="13" fillId="0" borderId="3" xfId="17" applyNumberFormat="1" applyFont="1" applyBorder="1" applyAlignment="1">
      <alignment horizontal="center" vertical="center"/>
    </xf>
    <xf numFmtId="41" fontId="13" fillId="0" borderId="35" xfId="17" applyFont="1" applyBorder="1" applyAlignment="1">
      <alignment horizontal="center" vertical="center" shrinkToFit="1"/>
    </xf>
    <xf numFmtId="41" fontId="9" fillId="0" borderId="36" xfId="17" applyFont="1" applyBorder="1" applyAlignment="1">
      <alignment horizontal="center" vertical="center"/>
    </xf>
    <xf numFmtId="41" fontId="9" fillId="0" borderId="6" xfId="17" applyFont="1" applyBorder="1" applyAlignment="1">
      <alignment horizontal="center" vertical="center"/>
    </xf>
    <xf numFmtId="177" fontId="13" fillId="0" borderId="22" xfId="17" applyNumberFormat="1" applyFont="1" applyBorder="1" applyAlignment="1">
      <alignment horizontal="center" vertical="center"/>
    </xf>
    <xf numFmtId="178" fontId="13" fillId="0" borderId="6" xfId="17" applyNumberFormat="1" applyFont="1" applyBorder="1" applyAlignment="1">
      <alignment horizontal="center" vertical="center"/>
    </xf>
    <xf numFmtId="41" fontId="13" fillId="0" borderId="21" xfId="17" applyFont="1" applyBorder="1" applyAlignment="1">
      <alignment horizontal="center" vertical="center" shrinkToFit="1"/>
    </xf>
    <xf numFmtId="41" fontId="12" fillId="0" borderId="36" xfId="17" applyFont="1" applyBorder="1" applyAlignment="1">
      <alignment horizontal="center" vertical="center" shrinkToFit="1"/>
    </xf>
    <xf numFmtId="41" fontId="9" fillId="0" borderId="37" xfId="17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7" fontId="13" fillId="0" borderId="10" xfId="17" applyNumberFormat="1" applyFont="1" applyBorder="1" applyAlignment="1">
      <alignment horizontal="center" vertical="center"/>
    </xf>
    <xf numFmtId="178" fontId="13" fillId="0" borderId="10" xfId="17" applyNumberFormat="1" applyFont="1" applyBorder="1" applyAlignment="1">
      <alignment horizontal="center" vertical="center"/>
    </xf>
    <xf numFmtId="41" fontId="13" fillId="0" borderId="19" xfId="17" applyFont="1" applyBorder="1" applyAlignment="1">
      <alignment horizontal="center" vertical="center" shrinkToFit="1"/>
    </xf>
    <xf numFmtId="41" fontId="12" fillId="0" borderId="38" xfId="17" applyFont="1" applyBorder="1" applyAlignment="1">
      <alignment horizontal="center" vertical="center" shrinkToFit="1"/>
    </xf>
    <xf numFmtId="41" fontId="9" fillId="0" borderId="39" xfId="17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shrinkToFit="1"/>
    </xf>
    <xf numFmtId="41" fontId="13" fillId="0" borderId="9" xfId="17" applyFont="1" applyBorder="1" applyAlignment="1">
      <alignment horizontal="center" vertical="center" shrinkToFit="1"/>
    </xf>
    <xf numFmtId="41" fontId="13" fillId="0" borderId="15" xfId="17" applyFont="1" applyBorder="1" applyAlignment="1">
      <alignment horizontal="center" vertical="center"/>
    </xf>
    <xf numFmtId="177" fontId="13" fillId="0" borderId="40" xfId="17" applyNumberFormat="1" applyFont="1" applyBorder="1" applyAlignment="1">
      <alignment horizontal="center" vertical="center"/>
    </xf>
    <xf numFmtId="178" fontId="13" fillId="0" borderId="9" xfId="17" applyNumberFormat="1" applyFont="1" applyBorder="1" applyAlignment="1">
      <alignment horizontal="center" vertical="center"/>
    </xf>
    <xf numFmtId="41" fontId="13" fillId="0" borderId="41" xfId="17" applyFont="1" applyBorder="1" applyAlignment="1">
      <alignment horizontal="center" vertical="center"/>
    </xf>
    <xf numFmtId="41" fontId="13" fillId="0" borderId="39" xfId="17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41" fontId="13" fillId="0" borderId="7" xfId="17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shrinkToFit="1"/>
    </xf>
    <xf numFmtId="41" fontId="13" fillId="0" borderId="6" xfId="17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left" vertical="center" shrinkToFit="1"/>
    </xf>
    <xf numFmtId="41" fontId="13" fillId="0" borderId="15" xfId="17" applyFont="1" applyBorder="1" applyAlignment="1">
      <alignment horizontal="center" vertical="center" shrinkToFit="1"/>
    </xf>
    <xf numFmtId="177" fontId="13" fillId="0" borderId="9" xfId="17" applyNumberFormat="1" applyFont="1" applyBorder="1" applyAlignment="1">
      <alignment horizontal="center" vertical="center"/>
    </xf>
    <xf numFmtId="41" fontId="13" fillId="0" borderId="19" xfId="17" applyFont="1" applyBorder="1" applyAlignment="1">
      <alignment horizontal="left" vertical="center"/>
    </xf>
    <xf numFmtId="41" fontId="12" fillId="0" borderId="7" xfId="17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41" fontId="13" fillId="0" borderId="0" xfId="17" applyFont="1" applyBorder="1" applyAlignment="1">
      <alignment horizontal="center" vertical="center"/>
    </xf>
    <xf numFmtId="177" fontId="13" fillId="0" borderId="7" xfId="17" applyNumberFormat="1" applyFont="1" applyBorder="1" applyAlignment="1">
      <alignment horizontal="center" vertical="center"/>
    </xf>
    <xf numFmtId="178" fontId="13" fillId="0" borderId="7" xfId="17" applyNumberFormat="1" applyFont="1" applyBorder="1" applyAlignment="1">
      <alignment horizontal="center" vertical="center"/>
    </xf>
    <xf numFmtId="41" fontId="13" fillId="0" borderId="42" xfId="17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 shrinkToFit="1"/>
    </xf>
    <xf numFmtId="41" fontId="13" fillId="0" borderId="36" xfId="17" applyFont="1" applyBorder="1" applyAlignment="1">
      <alignment horizontal="center" vertical="center"/>
    </xf>
    <xf numFmtId="41" fontId="13" fillId="0" borderId="37" xfId="17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41" fontId="13" fillId="0" borderId="18" xfId="17" applyFont="1" applyBorder="1" applyAlignment="1">
      <alignment horizontal="center" vertical="center" shrinkToFit="1"/>
    </xf>
    <xf numFmtId="177" fontId="13" fillId="0" borderId="18" xfId="17" applyNumberFormat="1" applyFont="1" applyBorder="1" applyAlignment="1">
      <alignment horizontal="center" vertical="center"/>
    </xf>
    <xf numFmtId="178" fontId="13" fillId="0" borderId="18" xfId="17" applyNumberFormat="1" applyFont="1" applyBorder="1" applyAlignment="1">
      <alignment horizontal="center" vertical="center"/>
    </xf>
    <xf numFmtId="41" fontId="13" fillId="0" borderId="43" xfId="17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1" fontId="13" fillId="0" borderId="7" xfId="17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1" fontId="13" fillId="0" borderId="44" xfId="17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shrinkToFit="1"/>
    </xf>
    <xf numFmtId="41" fontId="13" fillId="0" borderId="10" xfId="17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41" fontId="13" fillId="0" borderId="21" xfId="17" applyFont="1" applyBorder="1" applyAlignment="1">
      <alignment horizontal="left" vertical="center"/>
    </xf>
    <xf numFmtId="41" fontId="11" fillId="0" borderId="21" xfId="17" applyFont="1" applyBorder="1" applyAlignment="1">
      <alignment horizontal="left" vertical="center"/>
    </xf>
    <xf numFmtId="41" fontId="13" fillId="0" borderId="22" xfId="17" applyFont="1" applyBorder="1" applyAlignment="1">
      <alignment horizontal="center" vertical="center"/>
    </xf>
    <xf numFmtId="177" fontId="13" fillId="0" borderId="6" xfId="17" applyNumberFormat="1" applyFont="1" applyBorder="1" applyAlignment="1">
      <alignment horizontal="center" vertical="center"/>
    </xf>
    <xf numFmtId="41" fontId="12" fillId="0" borderId="0" xfId="17" applyFont="1" applyBorder="1" applyAlignment="1">
      <alignment horizontal="center" vertical="center" shrinkToFit="1"/>
    </xf>
    <xf numFmtId="41" fontId="9" fillId="0" borderId="45" xfId="17" applyFont="1" applyBorder="1" applyAlignment="1">
      <alignment horizontal="center" vertical="center"/>
    </xf>
    <xf numFmtId="41" fontId="9" fillId="0" borderId="10" xfId="17" applyFont="1" applyBorder="1" applyAlignment="1">
      <alignment horizontal="center" vertical="center"/>
    </xf>
    <xf numFmtId="177" fontId="13" fillId="0" borderId="14" xfId="17" applyNumberFormat="1" applyFont="1" applyBorder="1" applyAlignment="1">
      <alignment horizontal="center" vertical="center"/>
    </xf>
    <xf numFmtId="41" fontId="13" fillId="0" borderId="40" xfId="17" applyFont="1" applyBorder="1" applyAlignment="1">
      <alignment horizontal="center" vertical="center" shrinkToFit="1"/>
    </xf>
    <xf numFmtId="177" fontId="13" fillId="0" borderId="41" xfId="17" applyNumberFormat="1" applyFont="1" applyBorder="1" applyAlignment="1">
      <alignment horizontal="center" vertical="center"/>
    </xf>
    <xf numFmtId="178" fontId="13" fillId="0" borderId="19" xfId="17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41" fontId="9" fillId="0" borderId="41" xfId="17" applyFont="1" applyBorder="1" applyAlignment="1">
      <alignment horizontal="center" vertical="center"/>
    </xf>
    <xf numFmtId="41" fontId="9" fillId="0" borderId="21" xfId="17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41" fontId="13" fillId="0" borderId="9" xfId="17" applyFont="1" applyBorder="1" applyAlignment="1">
      <alignment horizontal="center" vertical="center"/>
    </xf>
    <xf numFmtId="177" fontId="13" fillId="0" borderId="46" xfId="17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shrinkToFit="1"/>
    </xf>
    <xf numFmtId="41" fontId="13" fillId="0" borderId="16" xfId="17" applyFont="1" applyBorder="1" applyAlignment="1">
      <alignment horizontal="center" vertical="center" shrinkToFit="1"/>
    </xf>
    <xf numFmtId="178" fontId="13" fillId="0" borderId="16" xfId="17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7" fontId="13" fillId="0" borderId="16" xfId="17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41" fontId="13" fillId="0" borderId="47" xfId="17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8" fontId="9" fillId="0" borderId="3" xfId="17" applyNumberFormat="1" applyFont="1" applyBorder="1" applyAlignment="1">
      <alignment horizontal="center" vertical="center"/>
    </xf>
    <xf numFmtId="41" fontId="9" fillId="0" borderId="35" xfId="17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77" fontId="9" fillId="0" borderId="22" xfId="17" applyNumberFormat="1" applyFont="1" applyBorder="1" applyAlignment="1">
      <alignment horizontal="center" vertical="center"/>
    </xf>
    <xf numFmtId="178" fontId="9" fillId="0" borderId="6" xfId="17" applyNumberFormat="1" applyFont="1" applyBorder="1" applyAlignment="1">
      <alignment horizontal="center" vertical="center"/>
    </xf>
    <xf numFmtId="41" fontId="9" fillId="0" borderId="21" xfId="17" applyFont="1" applyBorder="1" applyAlignment="1">
      <alignment horizontal="center" vertical="center" shrinkToFit="1"/>
    </xf>
    <xf numFmtId="41" fontId="9" fillId="0" borderId="36" xfId="17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9" fillId="0" borderId="14" xfId="17" applyFont="1" applyBorder="1" applyAlignment="1">
      <alignment horizontal="center" vertical="center"/>
    </xf>
    <xf numFmtId="177" fontId="9" fillId="0" borderId="10" xfId="17" applyNumberFormat="1" applyFont="1" applyBorder="1" applyAlignment="1">
      <alignment horizontal="center" vertical="center"/>
    </xf>
    <xf numFmtId="178" fontId="9" fillId="0" borderId="10" xfId="17" applyNumberFormat="1" applyFont="1" applyBorder="1" applyAlignment="1">
      <alignment horizontal="center" vertical="center"/>
    </xf>
    <xf numFmtId="41" fontId="9" fillId="0" borderId="19" xfId="17" applyFont="1" applyBorder="1" applyAlignment="1">
      <alignment horizontal="center" vertical="center" shrinkToFit="1"/>
    </xf>
    <xf numFmtId="41" fontId="9" fillId="0" borderId="38" xfId="17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1" fontId="9" fillId="0" borderId="9" xfId="17" applyFont="1" applyBorder="1" applyAlignment="1">
      <alignment horizontal="center" vertical="center" shrinkToFit="1"/>
    </xf>
    <xf numFmtId="41" fontId="9" fillId="0" borderId="15" xfId="17" applyFont="1" applyBorder="1" applyAlignment="1">
      <alignment horizontal="center" vertical="center"/>
    </xf>
    <xf numFmtId="177" fontId="9" fillId="0" borderId="40" xfId="17" applyNumberFormat="1" applyFont="1" applyBorder="1" applyAlignment="1">
      <alignment horizontal="center" vertical="center"/>
    </xf>
    <xf numFmtId="178" fontId="9" fillId="0" borderId="9" xfId="17" applyNumberFormat="1" applyFont="1" applyBorder="1" applyAlignment="1">
      <alignment horizontal="center" vertical="center"/>
    </xf>
    <xf numFmtId="41" fontId="9" fillId="0" borderId="7" xfId="17" applyFont="1" applyBorder="1" applyAlignment="1">
      <alignment horizontal="center" vertical="center" shrinkToFit="1"/>
    </xf>
    <xf numFmtId="41" fontId="9" fillId="0" borderId="48" xfId="17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41" fontId="9" fillId="0" borderId="6" xfId="17" applyFont="1" applyBorder="1" applyAlignment="1">
      <alignment horizontal="center" vertical="center" shrinkToFit="1"/>
    </xf>
    <xf numFmtId="41" fontId="9" fillId="0" borderId="15" xfId="17" applyFont="1" applyBorder="1" applyAlignment="1">
      <alignment horizontal="center" vertical="center" shrinkToFit="1"/>
    </xf>
    <xf numFmtId="177" fontId="9" fillId="0" borderId="9" xfId="17" applyNumberFormat="1" applyFont="1" applyBorder="1" applyAlignment="1">
      <alignment horizontal="center" vertical="center"/>
    </xf>
    <xf numFmtId="41" fontId="9" fillId="0" borderId="19" xfId="17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1" fontId="9" fillId="0" borderId="18" xfId="17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41" fontId="9" fillId="0" borderId="49" xfId="17" applyFont="1" applyBorder="1" applyAlignment="1">
      <alignment horizontal="center" vertical="center"/>
    </xf>
    <xf numFmtId="177" fontId="9" fillId="0" borderId="25" xfId="17" applyNumberFormat="1" applyFont="1" applyBorder="1" applyAlignment="1">
      <alignment horizontal="center" vertical="center"/>
    </xf>
    <xf numFmtId="41" fontId="9" fillId="0" borderId="50" xfId="17" applyFont="1" applyBorder="1" applyAlignment="1">
      <alignment horizontal="center" vertical="center"/>
    </xf>
    <xf numFmtId="41" fontId="9" fillId="0" borderId="0" xfId="17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 shrinkToFit="1"/>
    </xf>
    <xf numFmtId="177" fontId="9" fillId="0" borderId="7" xfId="17" applyNumberFormat="1" applyFont="1" applyBorder="1" applyAlignment="1">
      <alignment horizontal="center" vertical="center"/>
    </xf>
    <xf numFmtId="178" fontId="9" fillId="0" borderId="7" xfId="17" applyNumberFormat="1" applyFont="1" applyBorder="1" applyAlignment="1">
      <alignment horizontal="center" vertical="center"/>
    </xf>
    <xf numFmtId="41" fontId="9" fillId="0" borderId="42" xfId="17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center" vertical="center" shrinkToFit="1"/>
    </xf>
    <xf numFmtId="177" fontId="9" fillId="0" borderId="18" xfId="17" applyNumberFormat="1" applyFont="1" applyBorder="1" applyAlignment="1">
      <alignment horizontal="center" vertical="center"/>
    </xf>
    <xf numFmtId="178" fontId="9" fillId="0" borderId="18" xfId="17" applyNumberFormat="1" applyFont="1" applyBorder="1" applyAlignment="1">
      <alignment horizontal="center" vertical="center"/>
    </xf>
    <xf numFmtId="41" fontId="9" fillId="0" borderId="43" xfId="17" applyFont="1" applyBorder="1" applyAlignment="1">
      <alignment horizontal="center" vertical="center"/>
    </xf>
    <xf numFmtId="41" fontId="9" fillId="0" borderId="51" xfId="17" applyFont="1" applyBorder="1" applyAlignment="1">
      <alignment horizontal="center" vertical="center"/>
    </xf>
    <xf numFmtId="41" fontId="9" fillId="0" borderId="52" xfId="17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41" fontId="9" fillId="0" borderId="54" xfId="17" applyFont="1" applyBorder="1" applyAlignment="1">
      <alignment horizontal="center" vertical="center"/>
    </xf>
    <xf numFmtId="177" fontId="9" fillId="0" borderId="45" xfId="17" applyNumberFormat="1" applyFont="1" applyBorder="1" applyAlignment="1">
      <alignment horizontal="center" vertical="center"/>
    </xf>
    <xf numFmtId="178" fontId="9" fillId="0" borderId="45" xfId="17" applyNumberFormat="1" applyFont="1" applyBorder="1" applyAlignment="1">
      <alignment horizontal="center" vertical="center"/>
    </xf>
    <xf numFmtId="41" fontId="9" fillId="0" borderId="55" xfId="17" applyFont="1" applyBorder="1" applyAlignment="1">
      <alignment horizontal="center" vertical="center" shrinkToFit="1"/>
    </xf>
    <xf numFmtId="41" fontId="9" fillId="0" borderId="56" xfId="17" applyFont="1" applyBorder="1" applyAlignment="1">
      <alignment horizontal="center" vertical="center" shrinkToFit="1"/>
    </xf>
    <xf numFmtId="41" fontId="9" fillId="0" borderId="57" xfId="17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41" fontId="9" fillId="0" borderId="7" xfId="17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41" fontId="9" fillId="0" borderId="44" xfId="17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41" fontId="9" fillId="0" borderId="10" xfId="17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41" fontId="9" fillId="0" borderId="58" xfId="17" applyFont="1" applyBorder="1" applyAlignment="1">
      <alignment horizontal="center" vertical="center"/>
    </xf>
    <xf numFmtId="41" fontId="9" fillId="0" borderId="59" xfId="17" applyFont="1" applyBorder="1" applyAlignment="1">
      <alignment horizontal="center" vertical="center"/>
    </xf>
    <xf numFmtId="41" fontId="9" fillId="0" borderId="22" xfId="17" applyFont="1" applyBorder="1" applyAlignment="1">
      <alignment horizontal="center" vertical="center"/>
    </xf>
    <xf numFmtId="177" fontId="9" fillId="0" borderId="6" xfId="17" applyNumberFormat="1" applyFont="1" applyBorder="1" applyAlignment="1">
      <alignment horizontal="center" vertical="center"/>
    </xf>
    <xf numFmtId="41" fontId="9" fillId="0" borderId="0" xfId="17" applyFont="1" applyBorder="1" applyAlignment="1">
      <alignment horizontal="center" vertical="center" shrinkToFit="1"/>
    </xf>
    <xf numFmtId="41" fontId="9" fillId="0" borderId="60" xfId="17" applyFont="1" applyBorder="1" applyAlignment="1">
      <alignment horizontal="left" vertical="center"/>
    </xf>
    <xf numFmtId="41" fontId="9" fillId="0" borderId="61" xfId="17" applyFont="1" applyBorder="1" applyAlignment="1">
      <alignment horizontal="center" vertical="center" shrinkToFit="1"/>
    </xf>
    <xf numFmtId="177" fontId="9" fillId="0" borderId="14" xfId="17" applyNumberFormat="1" applyFont="1" applyBorder="1" applyAlignment="1">
      <alignment horizontal="center" vertical="center"/>
    </xf>
    <xf numFmtId="41" fontId="9" fillId="0" borderId="40" xfId="17" applyFont="1" applyBorder="1" applyAlignment="1">
      <alignment horizontal="center" vertical="center" shrinkToFit="1"/>
    </xf>
    <xf numFmtId="177" fontId="9" fillId="0" borderId="41" xfId="17" applyNumberFormat="1" applyFont="1" applyBorder="1" applyAlignment="1">
      <alignment horizontal="center" vertical="center"/>
    </xf>
    <xf numFmtId="178" fontId="9" fillId="0" borderId="19" xfId="17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177" fontId="9" fillId="0" borderId="19" xfId="17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1" fontId="9" fillId="0" borderId="9" xfId="17" applyFont="1" applyBorder="1" applyAlignment="1">
      <alignment horizontal="center" vertical="center"/>
    </xf>
    <xf numFmtId="177" fontId="9" fillId="0" borderId="46" xfId="17" applyNumberFormat="1" applyFont="1" applyBorder="1" applyAlignment="1">
      <alignment horizontal="center" vertical="center"/>
    </xf>
    <xf numFmtId="178" fontId="9" fillId="0" borderId="40" xfId="17" applyNumberFormat="1" applyFont="1" applyBorder="1" applyAlignment="1">
      <alignment horizontal="center" vertical="center"/>
    </xf>
    <xf numFmtId="178" fontId="9" fillId="0" borderId="15" xfId="17" applyNumberFormat="1" applyFont="1" applyBorder="1" applyAlignment="1">
      <alignment horizontal="center" vertical="center"/>
    </xf>
    <xf numFmtId="178" fontId="9" fillId="0" borderId="21" xfId="17" applyNumberFormat="1" applyFont="1" applyBorder="1" applyAlignment="1">
      <alignment horizontal="center" vertical="center"/>
    </xf>
    <xf numFmtId="177" fontId="9" fillId="0" borderId="21" xfId="17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177" fontId="9" fillId="0" borderId="47" xfId="17" applyNumberFormat="1" applyFont="1" applyBorder="1" applyAlignment="1">
      <alignment horizontal="center" vertical="center"/>
    </xf>
    <xf numFmtId="178" fontId="9" fillId="0" borderId="16" xfId="17" applyNumberFormat="1" applyFont="1" applyBorder="1" applyAlignment="1">
      <alignment horizontal="center" vertical="center"/>
    </xf>
    <xf numFmtId="41" fontId="9" fillId="0" borderId="46" xfId="17" applyFont="1" applyBorder="1" applyAlignment="1">
      <alignment horizontal="center" vertical="center"/>
    </xf>
    <xf numFmtId="177" fontId="9" fillId="0" borderId="62" xfId="17" applyNumberFormat="1" applyFont="1" applyBorder="1" applyAlignment="1">
      <alignment horizontal="center" vertical="center"/>
    </xf>
    <xf numFmtId="178" fontId="9" fillId="0" borderId="62" xfId="17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/>
    </xf>
    <xf numFmtId="177" fontId="9" fillId="0" borderId="60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9" fillId="0" borderId="63" xfId="17" applyFont="1" applyBorder="1" applyAlignment="1">
      <alignment horizontal="center" vertical="center"/>
    </xf>
    <xf numFmtId="177" fontId="9" fillId="0" borderId="15" xfId="17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41" fontId="9" fillId="0" borderId="22" xfId="17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left" vertical="center" shrinkToFit="1"/>
    </xf>
    <xf numFmtId="41" fontId="9" fillId="0" borderId="46" xfId="17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 shrinkToFit="1"/>
    </xf>
    <xf numFmtId="178" fontId="9" fillId="0" borderId="46" xfId="17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41" fontId="9" fillId="0" borderId="24" xfId="17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1" fontId="9" fillId="0" borderId="47" xfId="17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shrinkToFit="1"/>
    </xf>
    <xf numFmtId="41" fontId="9" fillId="0" borderId="66" xfId="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11" fillId="0" borderId="19" xfId="17" applyFont="1" applyBorder="1" applyAlignment="1">
      <alignment horizontal="left" vertical="center"/>
    </xf>
    <xf numFmtId="41" fontId="10" fillId="0" borderId="21" xfId="17" applyFont="1" applyBorder="1" applyAlignment="1">
      <alignment horizontal="left" vertical="center"/>
    </xf>
    <xf numFmtId="41" fontId="11" fillId="0" borderId="41" xfId="17" applyFont="1" applyBorder="1" applyAlignment="1">
      <alignment horizontal="center" vertical="center"/>
    </xf>
    <xf numFmtId="41" fontId="9" fillId="0" borderId="67" xfId="17" applyFont="1" applyBorder="1" applyAlignment="1">
      <alignment horizontal="left" vertical="center"/>
    </xf>
    <xf numFmtId="41" fontId="9" fillId="0" borderId="15" xfId="17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shrinkToFit="1"/>
    </xf>
    <xf numFmtId="41" fontId="10" fillId="0" borderId="19" xfId="17" applyFont="1" applyBorder="1" applyAlignment="1">
      <alignment horizontal="left" vertical="center"/>
    </xf>
    <xf numFmtId="41" fontId="9" fillId="0" borderId="49" xfId="17" applyFont="1" applyBorder="1" applyAlignment="1">
      <alignment horizontal="left" vertical="center" shrinkToFit="1"/>
    </xf>
    <xf numFmtId="41" fontId="10" fillId="0" borderId="19" xfId="17" applyFont="1" applyBorder="1" applyAlignment="1">
      <alignment vertical="center"/>
    </xf>
    <xf numFmtId="41" fontId="9" fillId="0" borderId="19" xfId="17" applyFont="1" applyBorder="1" applyAlignment="1">
      <alignment vertical="center"/>
    </xf>
    <xf numFmtId="41" fontId="11" fillId="0" borderId="19" xfId="17" applyFont="1" applyBorder="1" applyAlignment="1">
      <alignment vertical="center"/>
    </xf>
    <xf numFmtId="41" fontId="9" fillId="0" borderId="40" xfId="17" applyFont="1" applyBorder="1" applyAlignment="1">
      <alignment horizontal="left" vertical="center"/>
    </xf>
    <xf numFmtId="41" fontId="9" fillId="0" borderId="38" xfId="17" applyFont="1" applyBorder="1" applyAlignment="1">
      <alignment horizontal="center" vertical="center"/>
    </xf>
    <xf numFmtId="41" fontId="9" fillId="0" borderId="3" xfId="17" applyFont="1" applyBorder="1" applyAlignment="1">
      <alignment horizontal="center" vertical="center"/>
    </xf>
    <xf numFmtId="177" fontId="9" fillId="0" borderId="68" xfId="17" applyNumberFormat="1" applyFont="1" applyBorder="1" applyAlignment="1">
      <alignment horizontal="center" vertical="center"/>
    </xf>
    <xf numFmtId="41" fontId="9" fillId="0" borderId="69" xfId="17" applyFont="1" applyBorder="1" applyAlignment="1">
      <alignment horizontal="center" vertical="center" shrinkToFit="1"/>
    </xf>
    <xf numFmtId="41" fontId="9" fillId="0" borderId="70" xfId="17" applyFont="1" applyBorder="1" applyAlignment="1">
      <alignment horizontal="center" vertical="center"/>
    </xf>
    <xf numFmtId="41" fontId="9" fillId="0" borderId="21" xfId="17" applyFont="1" applyBorder="1" applyAlignment="1">
      <alignment horizontal="left" vertical="center" shrinkToFit="1"/>
    </xf>
    <xf numFmtId="41" fontId="9" fillId="0" borderId="19" xfId="17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177" fontId="9" fillId="0" borderId="26" xfId="17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77" fontId="9" fillId="0" borderId="24" xfId="17" applyNumberFormat="1" applyFont="1" applyBorder="1" applyAlignment="1">
      <alignment horizontal="center" vertical="center"/>
    </xf>
    <xf numFmtId="41" fontId="9" fillId="0" borderId="41" xfId="17" applyFont="1" applyBorder="1" applyAlignment="1">
      <alignment horizontal="center" vertical="center" shrinkToFit="1"/>
    </xf>
    <xf numFmtId="41" fontId="9" fillId="0" borderId="16" xfId="17" applyFont="1" applyBorder="1" applyAlignment="1">
      <alignment horizontal="center" vertical="center"/>
    </xf>
    <xf numFmtId="177" fontId="9" fillId="0" borderId="66" xfId="17" applyNumberFormat="1" applyFont="1" applyBorder="1" applyAlignment="1">
      <alignment horizontal="center" vertical="center"/>
    </xf>
    <xf numFmtId="41" fontId="9" fillId="0" borderId="51" xfId="17" applyFont="1" applyBorder="1" applyAlignment="1">
      <alignment horizontal="center" vertical="center" shrinkToFit="1"/>
    </xf>
    <xf numFmtId="0" fontId="9" fillId="0" borderId="6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7" fontId="13" fillId="0" borderId="68" xfId="17" applyNumberFormat="1" applyFont="1" applyBorder="1" applyAlignment="1">
      <alignment horizontal="center" vertical="center"/>
    </xf>
    <xf numFmtId="41" fontId="12" fillId="0" borderId="69" xfId="17" applyFont="1" applyBorder="1" applyAlignment="1">
      <alignment horizontal="center" vertical="center" shrinkToFit="1"/>
    </xf>
    <xf numFmtId="0" fontId="13" fillId="0" borderId="5" xfId="0" applyFont="1" applyBorder="1" applyAlignment="1">
      <alignment/>
    </xf>
    <xf numFmtId="41" fontId="13" fillId="0" borderId="21" xfId="17" applyFont="1" applyBorder="1" applyAlignment="1">
      <alignment horizontal="left" vertical="center" shrinkToFit="1"/>
    </xf>
    <xf numFmtId="41" fontId="13" fillId="0" borderId="19" xfId="17" applyFont="1" applyBorder="1" applyAlignment="1">
      <alignment horizontal="left" vertical="center" shrinkToFit="1"/>
    </xf>
    <xf numFmtId="0" fontId="13" fillId="0" borderId="17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3" fillId="0" borderId="46" xfId="0" applyFont="1" applyBorder="1" applyAlignment="1">
      <alignment horizontal="left" vertical="center"/>
    </xf>
    <xf numFmtId="41" fontId="13" fillId="0" borderId="38" xfId="17" applyFont="1" applyBorder="1" applyAlignment="1">
      <alignment horizontal="center" vertical="center" shrinkToFit="1"/>
    </xf>
    <xf numFmtId="41" fontId="13" fillId="0" borderId="36" xfId="17" applyFont="1" applyBorder="1" applyAlignment="1">
      <alignment horizontal="center" vertical="center" shrinkToFit="1"/>
    </xf>
    <xf numFmtId="41" fontId="13" fillId="0" borderId="15" xfId="17" applyFont="1" applyBorder="1" applyAlignment="1">
      <alignment horizontal="left" vertical="center"/>
    </xf>
    <xf numFmtId="41" fontId="13" fillId="0" borderId="60" xfId="17" applyFont="1" applyBorder="1" applyAlignment="1">
      <alignment horizontal="left" vertical="center"/>
    </xf>
    <xf numFmtId="0" fontId="9" fillId="0" borderId="5" xfId="0" applyFont="1" applyBorder="1" applyAlignment="1">
      <alignment/>
    </xf>
    <xf numFmtId="0" fontId="9" fillId="0" borderId="17" xfId="0" applyFont="1" applyBorder="1" applyAlignment="1">
      <alignment/>
    </xf>
    <xf numFmtId="41" fontId="9" fillId="0" borderId="47" xfId="17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41" fontId="9" fillId="0" borderId="62" xfId="17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41" fontId="11" fillId="0" borderId="60" xfId="17" applyFont="1" applyBorder="1" applyAlignment="1">
      <alignment horizontal="left" vertical="center"/>
    </xf>
    <xf numFmtId="41" fontId="9" fillId="0" borderId="49" xfId="17" applyFont="1" applyBorder="1" applyAlignment="1">
      <alignment horizontal="center" vertical="center" shrinkToFit="1"/>
    </xf>
    <xf numFmtId="41" fontId="9" fillId="0" borderId="71" xfId="17" applyFont="1" applyBorder="1" applyAlignment="1">
      <alignment horizontal="center" vertical="center" shrinkToFit="1"/>
    </xf>
    <xf numFmtId="41" fontId="9" fillId="0" borderId="72" xfId="17" applyFont="1" applyBorder="1" applyAlignment="1">
      <alignment horizontal="center" vertical="center"/>
    </xf>
    <xf numFmtId="41" fontId="9" fillId="0" borderId="15" xfId="17" applyFont="1" applyBorder="1" applyAlignment="1">
      <alignment horizontal="left" vertical="center" shrinkToFit="1"/>
    </xf>
    <xf numFmtId="41" fontId="11" fillId="0" borderId="15" xfId="17" applyFont="1" applyBorder="1" applyAlignment="1">
      <alignment horizontal="left" vertical="center"/>
    </xf>
    <xf numFmtId="41" fontId="9" fillId="0" borderId="55" xfId="17" applyFont="1" applyBorder="1" applyAlignment="1">
      <alignment horizontal="left" vertical="center" shrinkToFit="1"/>
    </xf>
    <xf numFmtId="41" fontId="13" fillId="0" borderId="40" xfId="17" applyFont="1" applyBorder="1" applyAlignment="1">
      <alignment horizontal="left" vertical="center"/>
    </xf>
    <xf numFmtId="41" fontId="13" fillId="0" borderId="38" xfId="17" applyFont="1" applyBorder="1" applyAlignment="1">
      <alignment horizontal="center" vertical="center"/>
    </xf>
    <xf numFmtId="41" fontId="13" fillId="0" borderId="63" xfId="17" applyFont="1" applyBorder="1" applyAlignment="1">
      <alignment horizontal="center" vertical="center"/>
    </xf>
    <xf numFmtId="41" fontId="10" fillId="0" borderId="40" xfId="17" applyFont="1" applyBorder="1" applyAlignment="1">
      <alignment horizontal="left" vertical="center"/>
    </xf>
    <xf numFmtId="41" fontId="10" fillId="0" borderId="15" xfId="17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1" fontId="11" fillId="0" borderId="40" xfId="17" applyFont="1" applyBorder="1" applyAlignment="1">
      <alignment horizontal="left" vertical="center"/>
    </xf>
    <xf numFmtId="176" fontId="11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41" fontId="13" fillId="0" borderId="10" xfId="17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41" fontId="12" fillId="0" borderId="41" xfId="17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1" fontId="13" fillId="0" borderId="41" xfId="17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41" fontId="11" fillId="0" borderId="39" xfId="17" applyFont="1" applyBorder="1" applyAlignment="1">
      <alignment horizontal="center" vertical="center"/>
    </xf>
    <xf numFmtId="41" fontId="11" fillId="0" borderId="38" xfId="17" applyFont="1" applyBorder="1" applyAlignment="1">
      <alignment horizontal="center" vertical="center"/>
    </xf>
    <xf numFmtId="41" fontId="11" fillId="0" borderId="63" xfId="17" applyFont="1" applyBorder="1" applyAlignment="1">
      <alignment horizontal="center" vertical="center"/>
    </xf>
    <xf numFmtId="41" fontId="11" fillId="0" borderId="0" xfId="17" applyFont="1" applyBorder="1" applyAlignment="1">
      <alignment horizontal="center" vertical="center"/>
    </xf>
    <xf numFmtId="41" fontId="11" fillId="0" borderId="42" xfId="17" applyFont="1" applyBorder="1" applyAlignment="1">
      <alignment horizontal="center" vertical="center"/>
    </xf>
    <xf numFmtId="41" fontId="11" fillId="0" borderId="36" xfId="17" applyFont="1" applyBorder="1" applyAlignment="1">
      <alignment horizontal="center" vertical="center"/>
    </xf>
    <xf numFmtId="41" fontId="11" fillId="0" borderId="37" xfId="17" applyFont="1" applyBorder="1" applyAlignment="1">
      <alignment horizontal="center" vertical="center"/>
    </xf>
    <xf numFmtId="41" fontId="11" fillId="0" borderId="43" xfId="17" applyFont="1" applyBorder="1" applyAlignment="1">
      <alignment horizontal="center" vertical="center"/>
    </xf>
    <xf numFmtId="41" fontId="11" fillId="0" borderId="44" xfId="17" applyFont="1" applyBorder="1" applyAlignment="1">
      <alignment horizontal="center" vertical="center"/>
    </xf>
    <xf numFmtId="41" fontId="9" fillId="0" borderId="40" xfId="17" applyFont="1" applyBorder="1" applyAlignment="1">
      <alignment horizontal="left" vertical="center" shrinkToFit="1"/>
    </xf>
    <xf numFmtId="41" fontId="11" fillId="0" borderId="58" xfId="17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0" fillId="0" borderId="19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7" fontId="9" fillId="0" borderId="16" xfId="17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horizontal="lef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5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right" vertical="center"/>
    </xf>
    <xf numFmtId="41" fontId="9" fillId="0" borderId="24" xfId="17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vertical="center"/>
    </xf>
    <xf numFmtId="41" fontId="9" fillId="0" borderId="18" xfId="17" applyFont="1" applyBorder="1" applyAlignment="1">
      <alignment horizontal="center" vertical="center"/>
    </xf>
    <xf numFmtId="41" fontId="10" fillId="0" borderId="0" xfId="17" applyFont="1" applyBorder="1" applyAlignment="1">
      <alignment horizontal="center" vertical="center"/>
    </xf>
    <xf numFmtId="41" fontId="9" fillId="0" borderId="60" xfId="17" applyFont="1" applyBorder="1" applyAlignment="1">
      <alignment horizontal="left" vertical="center" shrinkToFit="1"/>
    </xf>
    <xf numFmtId="41" fontId="9" fillId="0" borderId="43" xfId="17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9" fillId="0" borderId="73" xfId="0" applyFont="1" applyBorder="1" applyAlignment="1">
      <alignment vertical="center"/>
    </xf>
    <xf numFmtId="0" fontId="9" fillId="0" borderId="16" xfId="0" applyFont="1" applyBorder="1" applyAlignment="1">
      <alignment horizontal="left" vertical="center" shrinkToFit="1"/>
    </xf>
    <xf numFmtId="41" fontId="9" fillId="0" borderId="16" xfId="17" applyFont="1" applyBorder="1" applyAlignment="1">
      <alignment horizontal="center" vertical="center" shrinkToFit="1"/>
    </xf>
    <xf numFmtId="177" fontId="9" fillId="0" borderId="16" xfId="17" applyNumberFormat="1" applyFont="1" applyBorder="1" applyAlignment="1">
      <alignment horizontal="center" vertical="center"/>
    </xf>
    <xf numFmtId="41" fontId="11" fillId="0" borderId="47" xfId="17" applyFont="1" applyBorder="1" applyAlignment="1">
      <alignment horizontal="left" vertical="center"/>
    </xf>
    <xf numFmtId="176" fontId="9" fillId="0" borderId="75" xfId="0" applyNumberFormat="1" applyFont="1" applyFill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1" fontId="9" fillId="0" borderId="9" xfId="17" applyFont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176" fontId="9" fillId="2" borderId="64" xfId="0" applyNumberFormat="1" applyFont="1" applyFill="1" applyBorder="1" applyAlignment="1">
      <alignment horizontal="center" vertical="center"/>
    </xf>
    <xf numFmtId="176" fontId="9" fillId="0" borderId="77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176" fontId="9" fillId="0" borderId="78" xfId="0" applyNumberFormat="1" applyFont="1" applyFill="1" applyBorder="1" applyAlignment="1">
      <alignment horizontal="center" vertical="center"/>
    </xf>
    <xf numFmtId="176" fontId="9" fillId="2" borderId="20" xfId="0" applyNumberFormat="1" applyFont="1" applyFill="1" applyBorder="1" applyAlignment="1">
      <alignment horizontal="center" vertical="center"/>
    </xf>
    <xf numFmtId="176" fontId="9" fillId="2" borderId="79" xfId="0" applyNumberFormat="1" applyFont="1" applyFill="1" applyBorder="1" applyAlignment="1">
      <alignment horizontal="center" vertical="center"/>
    </xf>
    <xf numFmtId="176" fontId="8" fillId="0" borderId="43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right"/>
    </xf>
    <xf numFmtId="176" fontId="9" fillId="0" borderId="67" xfId="0" applyNumberFormat="1" applyFont="1" applyBorder="1" applyAlignment="1">
      <alignment horizontal="center" vertical="center"/>
    </xf>
    <xf numFmtId="176" fontId="9" fillId="0" borderId="8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81" xfId="0" applyNumberFormat="1" applyFont="1" applyFill="1" applyBorder="1" applyAlignment="1">
      <alignment horizontal="center" vertical="center"/>
    </xf>
    <xf numFmtId="176" fontId="9" fillId="0" borderId="6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177" fontId="9" fillId="0" borderId="9" xfId="17" applyNumberFormat="1" applyFont="1" applyBorder="1" applyAlignment="1">
      <alignment horizontal="center" vertical="center"/>
    </xf>
    <xf numFmtId="178" fontId="9" fillId="0" borderId="9" xfId="17" applyNumberFormat="1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1" fontId="9" fillId="0" borderId="46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8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68" xfId="0" applyFont="1" applyBorder="1" applyAlignment="1">
      <alignment/>
    </xf>
    <xf numFmtId="0" fontId="9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3" fillId="0" borderId="8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2" fillId="0" borderId="68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3" fillId="0" borderId="5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9" xfId="0" applyFont="1" applyBorder="1" applyAlignment="1">
      <alignment/>
    </xf>
    <xf numFmtId="0" fontId="12" fillId="0" borderId="76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28">
      <selection activeCell="H54" sqref="H54:N54"/>
    </sheetView>
  </sheetViews>
  <sheetFormatPr defaultColWidth="8.88671875" defaultRowHeight="13.5"/>
  <cols>
    <col min="1" max="1" width="9.3359375" style="0" customWidth="1"/>
    <col min="2" max="2" width="9.77734375" style="0" customWidth="1"/>
    <col min="3" max="3" width="11.21484375" style="0" customWidth="1"/>
    <col min="4" max="4" width="9.21484375" style="0" customWidth="1"/>
    <col min="5" max="5" width="8.5546875" style="0" customWidth="1"/>
    <col min="6" max="6" width="6.6640625" style="0" customWidth="1"/>
    <col min="7" max="7" width="6.21484375" style="0" customWidth="1"/>
    <col min="8" max="8" width="7.88671875" style="0" customWidth="1"/>
    <col min="9" max="9" width="9.88671875" style="0" customWidth="1"/>
    <col min="10" max="10" width="13.99609375" style="0" customWidth="1"/>
    <col min="12" max="12" width="7.88671875" style="0" customWidth="1"/>
    <col min="13" max="13" width="6.88671875" style="0" customWidth="1"/>
    <col min="14" max="14" width="5.5546875" style="0" customWidth="1"/>
  </cols>
  <sheetData>
    <row r="1" spans="1:14" ht="39.75" customHeight="1">
      <c r="A1" s="512" t="s">
        <v>1018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4" ht="21.75" customHeight="1" thickBot="1">
      <c r="A2" s="2" t="s">
        <v>0</v>
      </c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518" t="s">
        <v>35</v>
      </c>
      <c r="M2" s="519"/>
      <c r="N2" s="519"/>
    </row>
    <row r="3" spans="1:14" ht="21" customHeight="1">
      <c r="A3" s="494" t="s">
        <v>963</v>
      </c>
      <c r="B3" s="514"/>
      <c r="C3" s="514"/>
      <c r="D3" s="514"/>
      <c r="E3" s="514"/>
      <c r="F3" s="514"/>
      <c r="G3" s="514"/>
      <c r="H3" s="514" t="s">
        <v>964</v>
      </c>
      <c r="I3" s="514"/>
      <c r="J3" s="514"/>
      <c r="K3" s="514"/>
      <c r="L3" s="514"/>
      <c r="M3" s="514"/>
      <c r="N3" s="515"/>
    </row>
    <row r="4" spans="1:14" ht="13.5">
      <c r="A4" s="516" t="s">
        <v>965</v>
      </c>
      <c r="B4" s="523" t="s">
        <v>966</v>
      </c>
      <c r="C4" s="523" t="s">
        <v>967</v>
      </c>
      <c r="D4" s="523" t="s">
        <v>968</v>
      </c>
      <c r="E4" s="523" t="s">
        <v>969</v>
      </c>
      <c r="F4" s="523" t="s">
        <v>970</v>
      </c>
      <c r="G4" s="523"/>
      <c r="H4" s="523" t="s">
        <v>965</v>
      </c>
      <c r="I4" s="523" t="s">
        <v>966</v>
      </c>
      <c r="J4" s="523" t="s">
        <v>967</v>
      </c>
      <c r="K4" s="523" t="s">
        <v>968</v>
      </c>
      <c r="L4" s="523" t="s">
        <v>969</v>
      </c>
      <c r="M4" s="523" t="s">
        <v>970</v>
      </c>
      <c r="N4" s="525"/>
    </row>
    <row r="5" spans="1:14" ht="14.25" thickBot="1">
      <c r="A5" s="517"/>
      <c r="B5" s="524"/>
      <c r="C5" s="524"/>
      <c r="D5" s="524"/>
      <c r="E5" s="524"/>
      <c r="F5" s="3" t="s">
        <v>971</v>
      </c>
      <c r="G5" s="3" t="s">
        <v>972</v>
      </c>
      <c r="H5" s="524"/>
      <c r="I5" s="524"/>
      <c r="J5" s="524"/>
      <c r="K5" s="524"/>
      <c r="L5" s="524"/>
      <c r="M5" s="3" t="s">
        <v>971</v>
      </c>
      <c r="N5" s="4" t="s">
        <v>972</v>
      </c>
    </row>
    <row r="6" spans="1:14" ht="18.75" customHeight="1" thickBot="1" thickTop="1">
      <c r="A6" s="509" t="s">
        <v>973</v>
      </c>
      <c r="B6" s="510"/>
      <c r="C6" s="510"/>
      <c r="D6" s="482">
        <f>D7+D14+D42+D44+D46+D51</f>
        <v>479032</v>
      </c>
      <c r="E6" s="482">
        <f>E7+E14+E42+E44+E46+E51</f>
        <v>531962</v>
      </c>
      <c r="F6" s="5">
        <f aca="true" t="shared" si="0" ref="F6:F13">E6-D6</f>
        <v>52930</v>
      </c>
      <c r="G6" s="6">
        <f>F6*100/D6</f>
        <v>11.049366221880794</v>
      </c>
      <c r="H6" s="511" t="s">
        <v>973</v>
      </c>
      <c r="I6" s="511"/>
      <c r="J6" s="511"/>
      <c r="K6" s="482">
        <f>K7+K49+K57+K82+K84+K86</f>
        <v>479032</v>
      </c>
      <c r="L6" s="482">
        <f>L7+L49+L57+L82+L84+L86</f>
        <v>531962</v>
      </c>
      <c r="M6" s="5">
        <f aca="true" t="shared" si="1" ref="M6:M11">L6-K6</f>
        <v>52930</v>
      </c>
      <c r="N6" s="7">
        <f aca="true" t="shared" si="2" ref="N6:N11">M6*100/K6</f>
        <v>11.049366221880794</v>
      </c>
    </row>
    <row r="7" spans="1:14" ht="16.5" customHeight="1">
      <c r="A7" s="8" t="s">
        <v>974</v>
      </c>
      <c r="B7" s="530" t="s">
        <v>975</v>
      </c>
      <c r="C7" s="530"/>
      <c r="D7" s="10">
        <f>SUM(D9:D13)</f>
        <v>21950</v>
      </c>
      <c r="E7" s="10">
        <f>SUM(E9:E13)</f>
        <v>24950</v>
      </c>
      <c r="F7" s="11">
        <f t="shared" si="0"/>
        <v>3000</v>
      </c>
      <c r="G7" s="12">
        <f>F7*100/D7</f>
        <v>13.66742596810934</v>
      </c>
      <c r="H7" s="13" t="s">
        <v>976</v>
      </c>
      <c r="I7" s="530" t="s">
        <v>975</v>
      </c>
      <c r="J7" s="530"/>
      <c r="K7" s="14">
        <f>K8+K16+K25+K37+K41+K47+K48</f>
        <v>296772</v>
      </c>
      <c r="L7" s="14">
        <f>L8+L16+L25+L37+L41+L47+L48</f>
        <v>298841</v>
      </c>
      <c r="M7" s="11">
        <f t="shared" si="1"/>
        <v>2069</v>
      </c>
      <c r="N7" s="15">
        <f t="shared" si="2"/>
        <v>0.6971681964605826</v>
      </c>
    </row>
    <row r="8" spans="1:14" ht="17.25" customHeight="1">
      <c r="A8" s="16"/>
      <c r="B8" s="17" t="s">
        <v>977</v>
      </c>
      <c r="C8" s="18" t="s">
        <v>978</v>
      </c>
      <c r="D8" s="19">
        <f>SUM(D9:D13)</f>
        <v>21950</v>
      </c>
      <c r="E8" s="19">
        <f>SUM(E9:E13)</f>
        <v>24950</v>
      </c>
      <c r="F8" s="20">
        <f t="shared" si="0"/>
        <v>3000</v>
      </c>
      <c r="G8" s="21">
        <f>F8*100/D8</f>
        <v>13.66742596810934</v>
      </c>
      <c r="H8" s="22"/>
      <c r="I8" s="23" t="s">
        <v>979</v>
      </c>
      <c r="J8" s="18" t="s">
        <v>978</v>
      </c>
      <c r="K8" s="19">
        <f>SUM(K9:K15)</f>
        <v>188638</v>
      </c>
      <c r="L8" s="19">
        <f>SUM(L9:L15)</f>
        <v>188707</v>
      </c>
      <c r="M8" s="20">
        <f t="shared" si="1"/>
        <v>69</v>
      </c>
      <c r="N8" s="24">
        <f t="shared" si="2"/>
        <v>0.03657799594991465</v>
      </c>
    </row>
    <row r="9" spans="1:14" ht="17.25" customHeight="1">
      <c r="A9" s="16"/>
      <c r="B9" s="22"/>
      <c r="C9" s="25" t="s">
        <v>980</v>
      </c>
      <c r="D9" s="19">
        <v>450</v>
      </c>
      <c r="E9" s="19">
        <v>450</v>
      </c>
      <c r="F9" s="26">
        <f t="shared" si="0"/>
        <v>0</v>
      </c>
      <c r="G9" s="27">
        <v>0</v>
      </c>
      <c r="H9" s="22"/>
      <c r="I9" s="28" t="s">
        <v>981</v>
      </c>
      <c r="J9" s="19" t="s">
        <v>982</v>
      </c>
      <c r="K9" s="19">
        <v>74711</v>
      </c>
      <c r="L9" s="19">
        <v>74711</v>
      </c>
      <c r="M9" s="26">
        <f t="shared" si="1"/>
        <v>0</v>
      </c>
      <c r="N9" s="29">
        <f t="shared" si="2"/>
        <v>0</v>
      </c>
    </row>
    <row r="10" spans="1:14" ht="17.25" customHeight="1">
      <c r="A10" s="16"/>
      <c r="B10" s="22"/>
      <c r="C10" s="433" t="s">
        <v>983</v>
      </c>
      <c r="D10" s="19">
        <v>5500</v>
      </c>
      <c r="E10" s="19">
        <v>8500</v>
      </c>
      <c r="F10" s="26">
        <f t="shared" si="0"/>
        <v>3000</v>
      </c>
      <c r="G10" s="27">
        <v>0</v>
      </c>
      <c r="H10" s="22"/>
      <c r="I10" s="22"/>
      <c r="J10" s="19" t="s">
        <v>984</v>
      </c>
      <c r="K10" s="19">
        <v>35685</v>
      </c>
      <c r="L10" s="19">
        <v>35685</v>
      </c>
      <c r="M10" s="26">
        <f t="shared" si="1"/>
        <v>0</v>
      </c>
      <c r="N10" s="29">
        <f t="shared" si="2"/>
        <v>0</v>
      </c>
    </row>
    <row r="11" spans="1:14" ht="17.25" customHeight="1">
      <c r="A11" s="16"/>
      <c r="B11" s="22"/>
      <c r="C11" s="25" t="s">
        <v>856</v>
      </c>
      <c r="D11" s="19">
        <v>7000</v>
      </c>
      <c r="E11" s="19">
        <v>7000</v>
      </c>
      <c r="F11" s="26">
        <f t="shared" si="0"/>
        <v>0</v>
      </c>
      <c r="G11" s="27">
        <f>F11*100/D11</f>
        <v>0</v>
      </c>
      <c r="H11" s="22"/>
      <c r="I11" s="22"/>
      <c r="J11" s="19" t="s">
        <v>857</v>
      </c>
      <c r="K11" s="19">
        <v>37591</v>
      </c>
      <c r="L11" s="19">
        <v>37591</v>
      </c>
      <c r="M11" s="26">
        <f t="shared" si="1"/>
        <v>0</v>
      </c>
      <c r="N11" s="29">
        <f t="shared" si="2"/>
        <v>0</v>
      </c>
    </row>
    <row r="12" spans="1:14" ht="17.25" customHeight="1">
      <c r="A12" s="16"/>
      <c r="B12" s="22"/>
      <c r="C12" s="25" t="s">
        <v>858</v>
      </c>
      <c r="D12" s="19">
        <v>1200</v>
      </c>
      <c r="E12" s="19">
        <v>1200</v>
      </c>
      <c r="F12" s="26">
        <f t="shared" si="0"/>
        <v>0</v>
      </c>
      <c r="G12" s="27">
        <v>0</v>
      </c>
      <c r="H12" s="22"/>
      <c r="I12" s="22"/>
      <c r="J12" s="31" t="s">
        <v>859</v>
      </c>
      <c r="K12" s="19">
        <v>12467</v>
      </c>
      <c r="L12" s="19">
        <v>12467</v>
      </c>
      <c r="M12" s="20">
        <f>L12-K12</f>
        <v>0</v>
      </c>
      <c r="N12" s="24">
        <f aca="true" t="shared" si="3" ref="N12:N19">M12*100/K12</f>
        <v>0</v>
      </c>
    </row>
    <row r="13" spans="1:14" ht="17.25" customHeight="1">
      <c r="A13" s="30"/>
      <c r="B13" s="9"/>
      <c r="C13" s="25" t="s">
        <v>860</v>
      </c>
      <c r="D13" s="19">
        <v>7800</v>
      </c>
      <c r="E13" s="19">
        <v>7800</v>
      </c>
      <c r="F13" s="20">
        <f t="shared" si="0"/>
        <v>0</v>
      </c>
      <c r="G13" s="21">
        <f>F13*100/D13</f>
        <v>0</v>
      </c>
      <c r="H13" s="22"/>
      <c r="I13" s="22"/>
      <c r="J13" s="59" t="s">
        <v>861</v>
      </c>
      <c r="K13" s="19">
        <v>11804</v>
      </c>
      <c r="L13" s="19">
        <v>11804</v>
      </c>
      <c r="M13" s="26">
        <f>L13-K13</f>
        <v>0</v>
      </c>
      <c r="N13" s="29">
        <f t="shared" si="3"/>
        <v>0</v>
      </c>
    </row>
    <row r="14" spans="1:14" ht="18" customHeight="1">
      <c r="A14" s="483" t="s">
        <v>1015</v>
      </c>
      <c r="B14" s="18" t="s">
        <v>862</v>
      </c>
      <c r="C14" s="18"/>
      <c r="D14" s="19">
        <f>D15+D25+D40</f>
        <v>434801</v>
      </c>
      <c r="E14" s="19">
        <f>E15+E25+E40</f>
        <v>476731</v>
      </c>
      <c r="F14" s="20">
        <f>E14-D14</f>
        <v>41930</v>
      </c>
      <c r="G14" s="21">
        <f>F14*100/D14</f>
        <v>9.643492080285004</v>
      </c>
      <c r="H14" s="22"/>
      <c r="I14" s="22"/>
      <c r="J14" s="59" t="s">
        <v>863</v>
      </c>
      <c r="K14" s="19">
        <v>8280</v>
      </c>
      <c r="L14" s="19">
        <v>8280</v>
      </c>
      <c r="M14" s="26">
        <f>L14-K14</f>
        <v>0</v>
      </c>
      <c r="N14" s="29">
        <f t="shared" si="3"/>
        <v>0</v>
      </c>
    </row>
    <row r="15" spans="1:14" ht="17.25" customHeight="1">
      <c r="A15" s="16"/>
      <c r="B15" s="34" t="s">
        <v>864</v>
      </c>
      <c r="C15" s="18" t="s">
        <v>865</v>
      </c>
      <c r="D15" s="19">
        <f>SUM(D16:D24)</f>
        <v>292539</v>
      </c>
      <c r="E15" s="19">
        <f>SUM(E16:E24)</f>
        <v>324009</v>
      </c>
      <c r="F15" s="26">
        <f>E15-D15</f>
        <v>31470</v>
      </c>
      <c r="G15" s="27">
        <f>F15*100/D15</f>
        <v>10.757540020304985</v>
      </c>
      <c r="H15" s="22"/>
      <c r="I15" s="22"/>
      <c r="J15" s="59" t="s">
        <v>866</v>
      </c>
      <c r="K15" s="19">
        <v>8100</v>
      </c>
      <c r="L15" s="19">
        <v>8169</v>
      </c>
      <c r="M15" s="20">
        <f aca="true" t="shared" si="4" ref="M15:M22">L15-K15</f>
        <v>69</v>
      </c>
      <c r="N15" s="24">
        <f t="shared" si="3"/>
        <v>0.8518518518518519</v>
      </c>
    </row>
    <row r="16" spans="1:14" ht="16.5" customHeight="1">
      <c r="A16" s="16"/>
      <c r="B16" s="22"/>
      <c r="C16" s="35" t="s">
        <v>867</v>
      </c>
      <c r="D16" s="19">
        <v>180538</v>
      </c>
      <c r="E16" s="19">
        <v>180538</v>
      </c>
      <c r="F16" s="26">
        <f>E16-D16</f>
        <v>0</v>
      </c>
      <c r="G16" s="27">
        <v>0</v>
      </c>
      <c r="H16" s="22"/>
      <c r="I16" s="23" t="s">
        <v>868</v>
      </c>
      <c r="J16" s="18" t="s">
        <v>865</v>
      </c>
      <c r="K16" s="19">
        <f>SUM(K17:K24)</f>
        <v>20526</v>
      </c>
      <c r="L16" s="19">
        <f>SUM(L17:L24)</f>
        <v>20526</v>
      </c>
      <c r="M16" s="20">
        <f t="shared" si="4"/>
        <v>0</v>
      </c>
      <c r="N16" s="24">
        <f t="shared" si="3"/>
        <v>0</v>
      </c>
    </row>
    <row r="17" spans="1:14" ht="17.25" customHeight="1">
      <c r="A17" s="16"/>
      <c r="B17" s="22"/>
      <c r="C17" s="35" t="s">
        <v>869</v>
      </c>
      <c r="D17" s="19">
        <v>19326</v>
      </c>
      <c r="E17" s="19">
        <v>19326</v>
      </c>
      <c r="F17" s="26">
        <f>E17-D17</f>
        <v>0</v>
      </c>
      <c r="G17" s="27">
        <v>0</v>
      </c>
      <c r="H17" s="22"/>
      <c r="I17" s="28" t="s">
        <v>870</v>
      </c>
      <c r="J17" s="19" t="s">
        <v>871</v>
      </c>
      <c r="K17" s="19">
        <v>8448</v>
      </c>
      <c r="L17" s="19">
        <v>8448</v>
      </c>
      <c r="M17" s="20">
        <f t="shared" si="4"/>
        <v>0</v>
      </c>
      <c r="N17" s="24">
        <f t="shared" si="3"/>
        <v>0</v>
      </c>
    </row>
    <row r="18" spans="1:14" ht="15" customHeight="1">
      <c r="A18" s="16"/>
      <c r="B18" s="22"/>
      <c r="C18" s="35" t="s">
        <v>872</v>
      </c>
      <c r="D18" s="19">
        <v>28097</v>
      </c>
      <c r="E18" s="19">
        <v>28097</v>
      </c>
      <c r="F18" s="26">
        <f>E18-D18</f>
        <v>0</v>
      </c>
      <c r="G18" s="27">
        <v>0</v>
      </c>
      <c r="H18" s="22"/>
      <c r="I18" s="22"/>
      <c r="J18" s="19" t="s">
        <v>873</v>
      </c>
      <c r="K18" s="19">
        <v>3766</v>
      </c>
      <c r="L18" s="19">
        <v>3766</v>
      </c>
      <c r="M18" s="26">
        <f t="shared" si="4"/>
        <v>0</v>
      </c>
      <c r="N18" s="29">
        <f t="shared" si="3"/>
        <v>0</v>
      </c>
    </row>
    <row r="19" spans="1:14" ht="17.25" customHeight="1">
      <c r="A19" s="16"/>
      <c r="B19" s="22"/>
      <c r="C19" s="25" t="s">
        <v>874</v>
      </c>
      <c r="D19" s="19">
        <v>10500</v>
      </c>
      <c r="E19" s="19">
        <v>10500</v>
      </c>
      <c r="F19" s="20">
        <f aca="true" t="shared" si="5" ref="F19:F29">E19-D19</f>
        <v>0</v>
      </c>
      <c r="G19" s="21">
        <f aca="true" t="shared" si="6" ref="G19:G27">F19*100/D19</f>
        <v>0</v>
      </c>
      <c r="H19" s="22"/>
      <c r="I19" s="22"/>
      <c r="J19" s="19" t="s">
        <v>857</v>
      </c>
      <c r="K19" s="19">
        <v>3286</v>
      </c>
      <c r="L19" s="19">
        <v>3286</v>
      </c>
      <c r="M19" s="26">
        <f t="shared" si="4"/>
        <v>0</v>
      </c>
      <c r="N19" s="29">
        <f t="shared" si="3"/>
        <v>0</v>
      </c>
    </row>
    <row r="20" spans="1:14" ht="16.5" customHeight="1">
      <c r="A20" s="16"/>
      <c r="B20" s="22"/>
      <c r="C20" s="35" t="s">
        <v>875</v>
      </c>
      <c r="D20" s="19">
        <v>9501</v>
      </c>
      <c r="E20" s="19">
        <v>9501</v>
      </c>
      <c r="F20" s="20">
        <f t="shared" si="5"/>
        <v>0</v>
      </c>
      <c r="G20" s="21">
        <f t="shared" si="6"/>
        <v>0</v>
      </c>
      <c r="H20" s="22"/>
      <c r="I20" s="22"/>
      <c r="J20" s="31" t="s">
        <v>859</v>
      </c>
      <c r="K20" s="19">
        <v>1472</v>
      </c>
      <c r="L20" s="19">
        <v>1472</v>
      </c>
      <c r="M20" s="20">
        <f t="shared" si="4"/>
        <v>0</v>
      </c>
      <c r="N20" s="24">
        <f aca="true" t="shared" si="7" ref="N20:N27">M20*100/K20</f>
        <v>0</v>
      </c>
    </row>
    <row r="21" spans="1:14" ht="16.5" customHeight="1">
      <c r="A21" s="16"/>
      <c r="B21" s="22"/>
      <c r="C21" s="36" t="s">
        <v>876</v>
      </c>
      <c r="D21" s="19">
        <v>2674</v>
      </c>
      <c r="E21" s="19">
        <v>2674</v>
      </c>
      <c r="F21" s="20">
        <f t="shared" si="5"/>
        <v>0</v>
      </c>
      <c r="G21" s="21">
        <f t="shared" si="6"/>
        <v>0</v>
      </c>
      <c r="H21" s="22"/>
      <c r="I21" s="22"/>
      <c r="J21" s="33" t="s">
        <v>861</v>
      </c>
      <c r="K21" s="19">
        <v>1394</v>
      </c>
      <c r="L21" s="19">
        <v>1394</v>
      </c>
      <c r="M21" s="20">
        <f t="shared" si="4"/>
        <v>0</v>
      </c>
      <c r="N21" s="24">
        <f t="shared" si="7"/>
        <v>0</v>
      </c>
    </row>
    <row r="22" spans="1:14" ht="17.25" customHeight="1">
      <c r="A22" s="16"/>
      <c r="B22" s="22"/>
      <c r="C22" s="36" t="s">
        <v>877</v>
      </c>
      <c r="D22" s="19">
        <v>1903</v>
      </c>
      <c r="E22" s="19">
        <v>1903</v>
      </c>
      <c r="F22" s="20">
        <f t="shared" si="5"/>
        <v>0</v>
      </c>
      <c r="G22" s="21">
        <f t="shared" si="6"/>
        <v>0</v>
      </c>
      <c r="H22" s="22"/>
      <c r="I22" s="22"/>
      <c r="J22" s="33" t="s">
        <v>863</v>
      </c>
      <c r="K22" s="19">
        <v>960</v>
      </c>
      <c r="L22" s="19">
        <v>960</v>
      </c>
      <c r="M22" s="26">
        <f t="shared" si="4"/>
        <v>0</v>
      </c>
      <c r="N22" s="29">
        <f t="shared" si="7"/>
        <v>0</v>
      </c>
    </row>
    <row r="23" spans="1:14" ht="17.25" customHeight="1">
      <c r="A23" s="16"/>
      <c r="B23" s="22"/>
      <c r="C23" s="36" t="s">
        <v>878</v>
      </c>
      <c r="D23" s="19">
        <v>40000</v>
      </c>
      <c r="E23" s="19">
        <v>40000</v>
      </c>
      <c r="F23" s="26">
        <f>E23-D23</f>
        <v>0</v>
      </c>
      <c r="G23" s="27">
        <f>F23*100/D23</f>
        <v>0</v>
      </c>
      <c r="H23" s="22"/>
      <c r="I23" s="22"/>
      <c r="J23" s="39" t="s">
        <v>866</v>
      </c>
      <c r="K23" s="19">
        <v>1200</v>
      </c>
      <c r="L23" s="19">
        <v>1200</v>
      </c>
      <c r="M23" s="26">
        <f>L23-K23</f>
        <v>0</v>
      </c>
      <c r="N23" s="29">
        <f>M23*100/K23</f>
        <v>0</v>
      </c>
    </row>
    <row r="24" spans="1:14" ht="15" customHeight="1">
      <c r="A24" s="16"/>
      <c r="B24" s="9"/>
      <c r="C24" s="36" t="s">
        <v>1006</v>
      </c>
      <c r="D24" s="19">
        <v>0</v>
      </c>
      <c r="E24" s="19">
        <v>31470</v>
      </c>
      <c r="F24" s="26">
        <f t="shared" si="5"/>
        <v>31470</v>
      </c>
      <c r="G24" s="27">
        <v>0</v>
      </c>
      <c r="H24" s="22"/>
      <c r="I24" s="9"/>
      <c r="J24" s="39"/>
      <c r="K24" s="19"/>
      <c r="L24" s="19"/>
      <c r="M24" s="26"/>
      <c r="N24" s="29"/>
    </row>
    <row r="25" spans="1:14" ht="17.25" customHeight="1">
      <c r="A25" s="16"/>
      <c r="B25" s="23" t="s">
        <v>879</v>
      </c>
      <c r="C25" s="37" t="s">
        <v>865</v>
      </c>
      <c r="D25" s="19">
        <f>SUM(D26:D38)</f>
        <v>97262</v>
      </c>
      <c r="E25" s="19">
        <f>SUM(E26:E38)</f>
        <v>107722</v>
      </c>
      <c r="F25" s="20">
        <f t="shared" si="5"/>
        <v>10460</v>
      </c>
      <c r="G25" s="21">
        <f t="shared" si="6"/>
        <v>10.754457033579405</v>
      </c>
      <c r="H25" s="38"/>
      <c r="I25" s="28" t="s">
        <v>880</v>
      </c>
      <c r="J25" s="9" t="s">
        <v>865</v>
      </c>
      <c r="K25" s="10">
        <f>SUM(K26:K36)</f>
        <v>29297</v>
      </c>
      <c r="L25" s="10">
        <f>SUM(L26:L36)</f>
        <v>29297</v>
      </c>
      <c r="M25" s="14">
        <f>L25-K25</f>
        <v>0</v>
      </c>
      <c r="N25" s="51">
        <f t="shared" si="7"/>
        <v>0</v>
      </c>
    </row>
    <row r="26" spans="1:14" ht="17.25" customHeight="1">
      <c r="A26" s="16"/>
      <c r="B26" s="28" t="s">
        <v>881</v>
      </c>
      <c r="C26" s="40" t="s">
        <v>882</v>
      </c>
      <c r="D26" s="19">
        <v>20976</v>
      </c>
      <c r="E26" s="19">
        <v>20976</v>
      </c>
      <c r="F26" s="26">
        <f t="shared" si="5"/>
        <v>0</v>
      </c>
      <c r="G26" s="27">
        <f t="shared" si="6"/>
        <v>0</v>
      </c>
      <c r="H26" s="22"/>
      <c r="I26" s="28" t="s">
        <v>870</v>
      </c>
      <c r="J26" s="19" t="s">
        <v>871</v>
      </c>
      <c r="K26" s="19">
        <v>8556</v>
      </c>
      <c r="L26" s="19">
        <v>8556</v>
      </c>
      <c r="M26" s="20">
        <f>L26-K26</f>
        <v>0</v>
      </c>
      <c r="N26" s="24">
        <f t="shared" si="7"/>
        <v>0</v>
      </c>
    </row>
    <row r="27" spans="1:14" ht="17.25" customHeight="1">
      <c r="A27" s="16"/>
      <c r="B27" s="41"/>
      <c r="C27" s="25" t="s">
        <v>883</v>
      </c>
      <c r="D27" s="19">
        <v>19200</v>
      </c>
      <c r="E27" s="19">
        <v>19200</v>
      </c>
      <c r="F27" s="26">
        <f t="shared" si="5"/>
        <v>0</v>
      </c>
      <c r="G27" s="27">
        <f t="shared" si="6"/>
        <v>0</v>
      </c>
      <c r="H27" s="22"/>
      <c r="I27" s="22"/>
      <c r="J27" s="10" t="s">
        <v>873</v>
      </c>
      <c r="K27" s="10">
        <v>3850</v>
      </c>
      <c r="L27" s="10">
        <v>3850</v>
      </c>
      <c r="M27" s="14">
        <f>L27-K27</f>
        <v>0</v>
      </c>
      <c r="N27" s="51">
        <f t="shared" si="7"/>
        <v>0</v>
      </c>
    </row>
    <row r="28" spans="1:14" ht="15" customHeight="1">
      <c r="A28" s="16"/>
      <c r="B28" s="22"/>
      <c r="C28" s="44" t="s">
        <v>884</v>
      </c>
      <c r="D28" s="10">
        <v>16486</v>
      </c>
      <c r="E28" s="10">
        <v>16486</v>
      </c>
      <c r="F28" s="20">
        <f t="shared" si="5"/>
        <v>0</v>
      </c>
      <c r="G28" s="45">
        <v>0</v>
      </c>
      <c r="H28" s="22"/>
      <c r="I28" s="22"/>
      <c r="J28" s="10" t="s">
        <v>885</v>
      </c>
      <c r="K28" s="10">
        <v>7260</v>
      </c>
      <c r="L28" s="10">
        <v>7260</v>
      </c>
      <c r="M28" s="26">
        <f>L28-K28</f>
        <v>0</v>
      </c>
      <c r="N28" s="29">
        <v>0</v>
      </c>
    </row>
    <row r="29" spans="1:14" ht="16.5" customHeight="1" thickBot="1">
      <c r="A29" s="46"/>
      <c r="B29" s="47"/>
      <c r="C29" s="48" t="s">
        <v>886</v>
      </c>
      <c r="D29" s="42">
        <v>600</v>
      </c>
      <c r="E29" s="42">
        <v>700</v>
      </c>
      <c r="F29" s="49">
        <f t="shared" si="5"/>
        <v>100</v>
      </c>
      <c r="G29" s="50">
        <v>0</v>
      </c>
      <c r="H29" s="47"/>
      <c r="I29" s="47"/>
      <c r="J29" s="42" t="s">
        <v>857</v>
      </c>
      <c r="K29" s="42">
        <v>3381</v>
      </c>
      <c r="L29" s="42">
        <v>3381</v>
      </c>
      <c r="M29" s="49">
        <f>L29-K29</f>
        <v>0</v>
      </c>
      <c r="N29" s="83">
        <f>M29*100/K29</f>
        <v>0</v>
      </c>
    </row>
    <row r="30" spans="1:14" ht="24" customHeight="1">
      <c r="A30" s="531" t="s">
        <v>887</v>
      </c>
      <c r="B30" s="532"/>
      <c r="C30" s="532"/>
      <c r="D30" s="532"/>
      <c r="E30" s="532"/>
      <c r="F30" s="532"/>
      <c r="G30" s="513"/>
      <c r="H30" s="514" t="s">
        <v>888</v>
      </c>
      <c r="I30" s="514"/>
      <c r="J30" s="514"/>
      <c r="K30" s="514"/>
      <c r="L30" s="514"/>
      <c r="M30" s="514"/>
      <c r="N30" s="515"/>
    </row>
    <row r="31" spans="1:14" ht="13.5">
      <c r="A31" s="516" t="s">
        <v>275</v>
      </c>
      <c r="B31" s="507" t="s">
        <v>276</v>
      </c>
      <c r="C31" s="523" t="s">
        <v>277</v>
      </c>
      <c r="D31" s="523" t="s">
        <v>889</v>
      </c>
      <c r="E31" s="523" t="s">
        <v>890</v>
      </c>
      <c r="F31" s="523" t="s">
        <v>278</v>
      </c>
      <c r="G31" s="523"/>
      <c r="H31" s="523" t="s">
        <v>275</v>
      </c>
      <c r="I31" s="523" t="s">
        <v>276</v>
      </c>
      <c r="J31" s="523" t="s">
        <v>277</v>
      </c>
      <c r="K31" s="523" t="s">
        <v>889</v>
      </c>
      <c r="L31" s="523" t="s">
        <v>890</v>
      </c>
      <c r="M31" s="523" t="s">
        <v>278</v>
      </c>
      <c r="N31" s="525"/>
    </row>
    <row r="32" spans="1:14" ht="14.25" thickBot="1">
      <c r="A32" s="517"/>
      <c r="B32" s="508"/>
      <c r="C32" s="524"/>
      <c r="D32" s="524"/>
      <c r="E32" s="524"/>
      <c r="F32" s="3" t="s">
        <v>279</v>
      </c>
      <c r="G32" s="3" t="s">
        <v>280</v>
      </c>
      <c r="H32" s="524"/>
      <c r="I32" s="524"/>
      <c r="J32" s="524"/>
      <c r="K32" s="524"/>
      <c r="L32" s="524"/>
      <c r="M32" s="3" t="s">
        <v>279</v>
      </c>
      <c r="N32" s="4" t="s">
        <v>280</v>
      </c>
    </row>
    <row r="33" spans="1:14" ht="22.5" customHeight="1" thickTop="1">
      <c r="A33" s="483" t="s">
        <v>1015</v>
      </c>
      <c r="B33" s="23" t="s">
        <v>879</v>
      </c>
      <c r="C33" s="35" t="s">
        <v>891</v>
      </c>
      <c r="D33" s="19">
        <v>25000</v>
      </c>
      <c r="E33" s="19">
        <v>25000</v>
      </c>
      <c r="F33" s="20">
        <f aca="true" t="shared" si="8" ref="F33:F44">E33-D33</f>
        <v>0</v>
      </c>
      <c r="G33" s="27">
        <v>0</v>
      </c>
      <c r="H33" s="13" t="s">
        <v>892</v>
      </c>
      <c r="I33" s="28" t="s">
        <v>880</v>
      </c>
      <c r="J33" s="31" t="s">
        <v>859</v>
      </c>
      <c r="K33" s="19">
        <v>2101</v>
      </c>
      <c r="L33" s="19">
        <v>2101</v>
      </c>
      <c r="M33" s="20">
        <f aca="true" t="shared" si="9" ref="M33:M45">L33-K33</f>
        <v>0</v>
      </c>
      <c r="N33" s="24">
        <f aca="true" t="shared" si="10" ref="N33:N45">M33*100/K33</f>
        <v>0</v>
      </c>
    </row>
    <row r="34" spans="1:14" ht="22.5" customHeight="1">
      <c r="A34" s="16"/>
      <c r="B34" s="28" t="s">
        <v>881</v>
      </c>
      <c r="C34" s="35" t="s">
        <v>1013</v>
      </c>
      <c r="D34" s="19">
        <v>0</v>
      </c>
      <c r="E34" s="19">
        <v>360</v>
      </c>
      <c r="F34" s="20">
        <f t="shared" si="8"/>
        <v>360</v>
      </c>
      <c r="G34" s="27">
        <v>0</v>
      </c>
      <c r="H34" s="22"/>
      <c r="I34" s="28" t="s">
        <v>870</v>
      </c>
      <c r="J34" s="33" t="s">
        <v>861</v>
      </c>
      <c r="K34" s="19">
        <v>1989</v>
      </c>
      <c r="L34" s="19">
        <v>1989</v>
      </c>
      <c r="M34" s="26">
        <f t="shared" si="9"/>
        <v>0</v>
      </c>
      <c r="N34" s="24">
        <f t="shared" si="10"/>
        <v>0</v>
      </c>
    </row>
    <row r="35" spans="1:14" ht="22.5" customHeight="1">
      <c r="A35" s="16"/>
      <c r="B35" s="22"/>
      <c r="C35" s="35" t="s">
        <v>1014</v>
      </c>
      <c r="D35" s="19">
        <v>0</v>
      </c>
      <c r="E35" s="19">
        <v>10000</v>
      </c>
      <c r="F35" s="20">
        <f t="shared" si="8"/>
        <v>10000</v>
      </c>
      <c r="G35" s="27">
        <v>0</v>
      </c>
      <c r="H35" s="22"/>
      <c r="I35" s="22"/>
      <c r="J35" s="33" t="s">
        <v>863</v>
      </c>
      <c r="K35" s="19">
        <v>960</v>
      </c>
      <c r="L35" s="19">
        <v>960</v>
      </c>
      <c r="M35" s="26">
        <f t="shared" si="9"/>
        <v>0</v>
      </c>
      <c r="N35" s="29">
        <f t="shared" si="10"/>
        <v>0</v>
      </c>
    </row>
    <row r="36" spans="1:14" ht="22.5" customHeight="1">
      <c r="A36" s="16"/>
      <c r="B36" s="22"/>
      <c r="C36" s="35" t="s">
        <v>893</v>
      </c>
      <c r="D36" s="19">
        <v>4000</v>
      </c>
      <c r="E36" s="19">
        <v>4000</v>
      </c>
      <c r="F36" s="20">
        <f>E36-D36</f>
        <v>0</v>
      </c>
      <c r="G36" s="27"/>
      <c r="H36" s="22"/>
      <c r="I36" s="22"/>
      <c r="J36" s="25" t="s">
        <v>866</v>
      </c>
      <c r="K36" s="19">
        <v>1200</v>
      </c>
      <c r="L36" s="19">
        <v>1200</v>
      </c>
      <c r="M36" s="20">
        <f t="shared" si="9"/>
        <v>0</v>
      </c>
      <c r="N36" s="24">
        <f t="shared" si="10"/>
        <v>0</v>
      </c>
    </row>
    <row r="37" spans="1:14" ht="22.5" customHeight="1">
      <c r="A37" s="16"/>
      <c r="B37" s="22"/>
      <c r="C37" s="31" t="s">
        <v>841</v>
      </c>
      <c r="D37" s="19">
        <v>11000</v>
      </c>
      <c r="E37" s="19">
        <v>11000</v>
      </c>
      <c r="F37" s="26">
        <f>E37-D37</f>
        <v>0</v>
      </c>
      <c r="G37" s="27"/>
      <c r="H37" s="22"/>
      <c r="I37" s="17" t="s">
        <v>894</v>
      </c>
      <c r="J37" s="18" t="s">
        <v>865</v>
      </c>
      <c r="K37" s="19">
        <f>K38+K39+K40</f>
        <v>7800</v>
      </c>
      <c r="L37" s="19">
        <f>L38+L39+L40</f>
        <v>7800</v>
      </c>
      <c r="M37" s="20">
        <f t="shared" si="9"/>
        <v>0</v>
      </c>
      <c r="N37" s="24">
        <f t="shared" si="10"/>
        <v>0</v>
      </c>
    </row>
    <row r="38" spans="1:14" ht="22.5" customHeight="1">
      <c r="A38" s="16"/>
      <c r="B38" s="9"/>
      <c r="C38" s="31"/>
      <c r="D38" s="19"/>
      <c r="E38" s="19"/>
      <c r="F38" s="26"/>
      <c r="G38" s="27"/>
      <c r="H38" s="22"/>
      <c r="I38" s="22"/>
      <c r="J38" s="19" t="s">
        <v>895</v>
      </c>
      <c r="K38" s="19">
        <v>2400</v>
      </c>
      <c r="L38" s="19">
        <v>2400</v>
      </c>
      <c r="M38" s="26">
        <f t="shared" si="9"/>
        <v>0</v>
      </c>
      <c r="N38" s="29">
        <f t="shared" si="10"/>
        <v>0</v>
      </c>
    </row>
    <row r="39" spans="1:14" ht="22.5" customHeight="1">
      <c r="A39" s="16"/>
      <c r="B39" s="39" t="s">
        <v>896</v>
      </c>
      <c r="C39" s="18" t="s">
        <v>865</v>
      </c>
      <c r="D39" s="19">
        <v>45000</v>
      </c>
      <c r="E39" s="19">
        <v>45000</v>
      </c>
      <c r="F39" s="20">
        <f t="shared" si="8"/>
        <v>0</v>
      </c>
      <c r="G39" s="21">
        <f>F39*100/D39</f>
        <v>0</v>
      </c>
      <c r="H39" s="22"/>
      <c r="I39" s="22"/>
      <c r="J39" s="19" t="s">
        <v>897</v>
      </c>
      <c r="K39" s="19">
        <v>3600</v>
      </c>
      <c r="L39" s="19">
        <v>3600</v>
      </c>
      <c r="M39" s="26">
        <f t="shared" si="9"/>
        <v>0</v>
      </c>
      <c r="N39" s="29">
        <f t="shared" si="10"/>
        <v>0</v>
      </c>
    </row>
    <row r="40" spans="1:14" ht="22.5" customHeight="1">
      <c r="A40" s="30"/>
      <c r="B40" s="52"/>
      <c r="C40" s="33" t="s">
        <v>842</v>
      </c>
      <c r="D40" s="19">
        <v>45000</v>
      </c>
      <c r="E40" s="19">
        <v>45000</v>
      </c>
      <c r="F40" s="20">
        <f t="shared" si="8"/>
        <v>0</v>
      </c>
      <c r="G40" s="21">
        <f>F40*100/D40</f>
        <v>0</v>
      </c>
      <c r="H40" s="22"/>
      <c r="I40" s="9"/>
      <c r="J40" s="19" t="s">
        <v>898</v>
      </c>
      <c r="K40" s="19">
        <v>1800</v>
      </c>
      <c r="L40" s="19">
        <v>1800</v>
      </c>
      <c r="M40" s="20">
        <f t="shared" si="9"/>
        <v>0</v>
      </c>
      <c r="N40" s="24">
        <f t="shared" si="10"/>
        <v>0</v>
      </c>
    </row>
    <row r="41" spans="1:14" ht="21.75" customHeight="1">
      <c r="A41" s="53" t="s">
        <v>899</v>
      </c>
      <c r="B41" s="54" t="s">
        <v>862</v>
      </c>
      <c r="C41" s="37"/>
      <c r="D41" s="19">
        <f>D42</f>
        <v>0</v>
      </c>
      <c r="E41" s="19">
        <f>E42</f>
        <v>0</v>
      </c>
      <c r="F41" s="20">
        <f t="shared" si="8"/>
        <v>0</v>
      </c>
      <c r="G41" s="21">
        <v>0</v>
      </c>
      <c r="H41" s="22"/>
      <c r="I41" s="58" t="s">
        <v>900</v>
      </c>
      <c r="J41" s="18" t="s">
        <v>865</v>
      </c>
      <c r="K41" s="19">
        <f>SUM(K42:K46)</f>
        <v>48500</v>
      </c>
      <c r="L41" s="19">
        <f>SUM(L42:L46)</f>
        <v>50500</v>
      </c>
      <c r="M41" s="20">
        <f t="shared" si="9"/>
        <v>2000</v>
      </c>
      <c r="N41" s="24">
        <f t="shared" si="10"/>
        <v>4.123711340206185</v>
      </c>
    </row>
    <row r="42" spans="1:14" ht="21.75" customHeight="1">
      <c r="A42" s="55"/>
      <c r="B42" s="33" t="s">
        <v>901</v>
      </c>
      <c r="C42" s="19" t="s">
        <v>902</v>
      </c>
      <c r="D42" s="19">
        <v>0</v>
      </c>
      <c r="E42" s="19">
        <v>0</v>
      </c>
      <c r="F42" s="20">
        <f t="shared" si="8"/>
        <v>0</v>
      </c>
      <c r="G42" s="21">
        <v>0</v>
      </c>
      <c r="H42" s="22"/>
      <c r="I42" s="22"/>
      <c r="J42" s="19" t="s">
        <v>903</v>
      </c>
      <c r="K42" s="19">
        <v>1000</v>
      </c>
      <c r="L42" s="19">
        <v>1000</v>
      </c>
      <c r="M42" s="26">
        <f t="shared" si="9"/>
        <v>0</v>
      </c>
      <c r="N42" s="29">
        <f t="shared" si="10"/>
        <v>0</v>
      </c>
    </row>
    <row r="43" spans="1:14" ht="21.75" customHeight="1">
      <c r="A43" s="56" t="s">
        <v>904</v>
      </c>
      <c r="B43" s="54" t="s">
        <v>862</v>
      </c>
      <c r="C43" s="37"/>
      <c r="D43" s="19">
        <f>D44</f>
        <v>20000</v>
      </c>
      <c r="E43" s="19">
        <f>E44</f>
        <v>20000</v>
      </c>
      <c r="F43" s="20">
        <f t="shared" si="8"/>
        <v>0</v>
      </c>
      <c r="G43" s="21">
        <f>F43*100/D43</f>
        <v>0</v>
      </c>
      <c r="H43" s="22"/>
      <c r="I43" s="22"/>
      <c r="J43" s="59" t="s">
        <v>905</v>
      </c>
      <c r="K43" s="19">
        <v>15136</v>
      </c>
      <c r="L43" s="19">
        <v>17136</v>
      </c>
      <c r="M43" s="26">
        <f t="shared" si="9"/>
        <v>2000</v>
      </c>
      <c r="N43" s="29">
        <f t="shared" si="10"/>
        <v>13.213530655391121</v>
      </c>
    </row>
    <row r="44" spans="1:14" ht="21.75" customHeight="1">
      <c r="A44" s="57"/>
      <c r="B44" s="33" t="s">
        <v>906</v>
      </c>
      <c r="C44" s="19" t="s">
        <v>907</v>
      </c>
      <c r="D44" s="19">
        <v>20000</v>
      </c>
      <c r="E44" s="19">
        <v>20000</v>
      </c>
      <c r="F44" s="20">
        <f t="shared" si="8"/>
        <v>0</v>
      </c>
      <c r="G44" s="21">
        <f>F44*100/D44</f>
        <v>0</v>
      </c>
      <c r="H44" s="22"/>
      <c r="I44" s="22"/>
      <c r="J44" s="19" t="s">
        <v>908</v>
      </c>
      <c r="K44" s="19">
        <v>14530</v>
      </c>
      <c r="L44" s="19">
        <v>14530</v>
      </c>
      <c r="M44" s="20">
        <f t="shared" si="9"/>
        <v>0</v>
      </c>
      <c r="N44" s="24">
        <f t="shared" si="10"/>
        <v>0</v>
      </c>
    </row>
    <row r="45" spans="1:14" ht="21.75" customHeight="1">
      <c r="A45" s="56" t="s">
        <v>909</v>
      </c>
      <c r="B45" s="54" t="s">
        <v>862</v>
      </c>
      <c r="C45" s="37"/>
      <c r="D45" s="19">
        <f>D46</f>
        <v>1265</v>
      </c>
      <c r="E45" s="19">
        <f>E46</f>
        <v>1265</v>
      </c>
      <c r="F45" s="26">
        <f>E45-D45</f>
        <v>0</v>
      </c>
      <c r="G45" s="27">
        <f>F45*100/D45</f>
        <v>0</v>
      </c>
      <c r="H45" s="22"/>
      <c r="I45" s="22"/>
      <c r="J45" s="19" t="s">
        <v>910</v>
      </c>
      <c r="K45" s="19">
        <v>5534</v>
      </c>
      <c r="L45" s="19">
        <v>5534</v>
      </c>
      <c r="M45" s="26">
        <f t="shared" si="9"/>
        <v>0</v>
      </c>
      <c r="N45" s="29">
        <f t="shared" si="10"/>
        <v>0</v>
      </c>
    </row>
    <row r="46" spans="1:14" ht="21.75" customHeight="1">
      <c r="A46" s="16"/>
      <c r="B46" s="34" t="s">
        <v>911</v>
      </c>
      <c r="C46" s="18" t="s">
        <v>865</v>
      </c>
      <c r="D46" s="19">
        <f>SUM(D47:D49)</f>
        <v>1265</v>
      </c>
      <c r="E46" s="19">
        <f>SUM(E47:E49)</f>
        <v>1265</v>
      </c>
      <c r="F46" s="26">
        <f>E46-D46</f>
        <v>0</v>
      </c>
      <c r="G46" s="27">
        <f>F46*100/D46</f>
        <v>0</v>
      </c>
      <c r="H46" s="22"/>
      <c r="I46" s="9"/>
      <c r="J46" s="33" t="s">
        <v>912</v>
      </c>
      <c r="K46" s="19">
        <v>12300</v>
      </c>
      <c r="L46" s="19">
        <v>12300</v>
      </c>
      <c r="M46" s="20">
        <f aca="true" t="shared" si="11" ref="M46:M53">L46-K46</f>
        <v>0</v>
      </c>
      <c r="N46" s="24">
        <f>M46*100/K46</f>
        <v>0</v>
      </c>
    </row>
    <row r="47" spans="1:14" ht="21.75" customHeight="1">
      <c r="A47" s="16"/>
      <c r="B47" s="22"/>
      <c r="C47" s="19" t="s">
        <v>913</v>
      </c>
      <c r="D47" s="19">
        <v>1265</v>
      </c>
      <c r="E47" s="19">
        <v>1265</v>
      </c>
      <c r="F47" s="26">
        <f>E47-D47</f>
        <v>0</v>
      </c>
      <c r="G47" s="27">
        <f>F47*100/D47</f>
        <v>0</v>
      </c>
      <c r="H47" s="22"/>
      <c r="I47" s="473" t="s">
        <v>914</v>
      </c>
      <c r="J47" s="63" t="s">
        <v>865</v>
      </c>
      <c r="K47" s="19">
        <v>474</v>
      </c>
      <c r="L47" s="19">
        <v>474</v>
      </c>
      <c r="M47" s="20">
        <f t="shared" si="11"/>
        <v>0</v>
      </c>
      <c r="N47" s="24">
        <v>0</v>
      </c>
    </row>
    <row r="48" spans="1:14" ht="21.75" customHeight="1">
      <c r="A48" s="16"/>
      <c r="B48" s="22"/>
      <c r="C48" s="25" t="s">
        <v>915</v>
      </c>
      <c r="D48" s="19">
        <v>0</v>
      </c>
      <c r="E48" s="19">
        <v>0</v>
      </c>
      <c r="F48" s="20">
        <f aca="true" t="shared" si="12" ref="F48:F53">E48-D48</f>
        <v>0</v>
      </c>
      <c r="G48" s="21">
        <v>0</v>
      </c>
      <c r="H48" s="22"/>
      <c r="I48" s="62" t="s">
        <v>916</v>
      </c>
      <c r="J48" s="63" t="s">
        <v>865</v>
      </c>
      <c r="K48" s="19">
        <v>1537</v>
      </c>
      <c r="L48" s="19">
        <v>1537</v>
      </c>
      <c r="M48" s="20">
        <f t="shared" si="11"/>
        <v>0</v>
      </c>
      <c r="N48" s="24">
        <f>M48*100/K48</f>
        <v>0</v>
      </c>
    </row>
    <row r="49" spans="1:14" ht="21.75" customHeight="1">
      <c r="A49" s="30"/>
      <c r="B49" s="9"/>
      <c r="C49" s="25" t="s">
        <v>917</v>
      </c>
      <c r="D49" s="19">
        <v>0</v>
      </c>
      <c r="E49" s="19">
        <v>0</v>
      </c>
      <c r="F49" s="20">
        <f t="shared" si="12"/>
        <v>0</v>
      </c>
      <c r="G49" s="27">
        <v>0</v>
      </c>
      <c r="H49" s="34" t="s">
        <v>918</v>
      </c>
      <c r="I49" s="18" t="s">
        <v>862</v>
      </c>
      <c r="J49" s="18"/>
      <c r="K49" s="19">
        <f>K50</f>
        <v>8980</v>
      </c>
      <c r="L49" s="19">
        <f>L50</f>
        <v>45681</v>
      </c>
      <c r="M49" s="20">
        <f t="shared" si="11"/>
        <v>36701</v>
      </c>
      <c r="N49" s="24">
        <f>M49*100/K49</f>
        <v>408.6971046770601</v>
      </c>
    </row>
    <row r="50" spans="1:14" ht="19.5" customHeight="1">
      <c r="A50" s="56" t="s">
        <v>919</v>
      </c>
      <c r="B50" s="60" t="s">
        <v>862</v>
      </c>
      <c r="C50" s="61"/>
      <c r="D50" s="19">
        <f>D51</f>
        <v>1016</v>
      </c>
      <c r="E50" s="19">
        <f>E51</f>
        <v>9016</v>
      </c>
      <c r="F50" s="20">
        <f t="shared" si="12"/>
        <v>8000</v>
      </c>
      <c r="G50" s="21">
        <f>F50*100/D50</f>
        <v>787.4015748031496</v>
      </c>
      <c r="H50" s="22" t="s">
        <v>920</v>
      </c>
      <c r="I50" s="34" t="s">
        <v>921</v>
      </c>
      <c r="J50" s="18" t="s">
        <v>865</v>
      </c>
      <c r="K50" s="19">
        <f>K51+K52+K53</f>
        <v>8980</v>
      </c>
      <c r="L50" s="19">
        <f>L51+L52+L53</f>
        <v>45681</v>
      </c>
      <c r="M50" s="20">
        <f t="shared" si="11"/>
        <v>36701</v>
      </c>
      <c r="N50" s="24">
        <f>M50*100/K50</f>
        <v>408.6971046770601</v>
      </c>
    </row>
    <row r="51" spans="1:14" ht="19.5" customHeight="1">
      <c r="A51" s="8"/>
      <c r="B51" s="34" t="s">
        <v>922</v>
      </c>
      <c r="C51" s="18" t="s">
        <v>865</v>
      </c>
      <c r="D51" s="19">
        <f>SUM(D52:D53)</f>
        <v>1016</v>
      </c>
      <c r="E51" s="19">
        <f>SUM(E52:E53)</f>
        <v>9016</v>
      </c>
      <c r="F51" s="20">
        <f t="shared" si="12"/>
        <v>8000</v>
      </c>
      <c r="G51" s="21">
        <f>F51*100/D51</f>
        <v>787.4015748031496</v>
      </c>
      <c r="H51" s="22"/>
      <c r="I51" s="22"/>
      <c r="J51" s="19" t="s">
        <v>923</v>
      </c>
      <c r="K51" s="19">
        <v>6680</v>
      </c>
      <c r="L51" s="19">
        <v>42316</v>
      </c>
      <c r="M51" s="20">
        <f t="shared" si="11"/>
        <v>35636</v>
      </c>
      <c r="N51" s="24">
        <f>M51*100/K51</f>
        <v>533.4730538922156</v>
      </c>
    </row>
    <row r="52" spans="1:14" ht="19.5" customHeight="1">
      <c r="A52" s="64"/>
      <c r="B52" s="22"/>
      <c r="C52" s="9" t="s">
        <v>924</v>
      </c>
      <c r="D52" s="10">
        <v>16</v>
      </c>
      <c r="E52" s="10">
        <v>16</v>
      </c>
      <c r="F52" s="65">
        <f t="shared" si="12"/>
        <v>0</v>
      </c>
      <c r="G52" s="66">
        <f>F52*100/D52</f>
        <v>0</v>
      </c>
      <c r="H52" s="22"/>
      <c r="I52" s="22"/>
      <c r="J52" s="33" t="s">
        <v>925</v>
      </c>
      <c r="K52" s="19">
        <v>500</v>
      </c>
      <c r="L52" s="19">
        <v>1915</v>
      </c>
      <c r="M52" s="20">
        <f t="shared" si="11"/>
        <v>1415</v>
      </c>
      <c r="N52" s="24">
        <v>0</v>
      </c>
    </row>
    <row r="53" spans="1:14" ht="19.5" customHeight="1" thickBot="1">
      <c r="A53" s="126"/>
      <c r="B53" s="67"/>
      <c r="C53" s="128" t="s">
        <v>926</v>
      </c>
      <c r="D53" s="42">
        <v>1000</v>
      </c>
      <c r="E53" s="42">
        <v>9000</v>
      </c>
      <c r="F53" s="474">
        <f t="shared" si="12"/>
        <v>8000</v>
      </c>
      <c r="G53" s="475">
        <f>F53*100/D53</f>
        <v>800</v>
      </c>
      <c r="H53" s="47"/>
      <c r="I53" s="47"/>
      <c r="J53" s="67" t="s">
        <v>927</v>
      </c>
      <c r="K53" s="67">
        <v>1800</v>
      </c>
      <c r="L53" s="67">
        <v>1450</v>
      </c>
      <c r="M53" s="68">
        <f t="shared" si="11"/>
        <v>-350</v>
      </c>
      <c r="N53" s="69">
        <f>M53*100/K53</f>
        <v>-19.444444444444443</v>
      </c>
    </row>
    <row r="54" spans="1:14" ht="18.75" customHeight="1">
      <c r="A54" s="531" t="s">
        <v>887</v>
      </c>
      <c r="B54" s="532"/>
      <c r="C54" s="532"/>
      <c r="D54" s="532"/>
      <c r="E54" s="532"/>
      <c r="F54" s="532"/>
      <c r="G54" s="513"/>
      <c r="H54" s="514" t="s">
        <v>888</v>
      </c>
      <c r="I54" s="514"/>
      <c r="J54" s="514"/>
      <c r="K54" s="514"/>
      <c r="L54" s="514"/>
      <c r="M54" s="514"/>
      <c r="N54" s="515"/>
    </row>
    <row r="55" spans="1:14" ht="13.5">
      <c r="A55" s="516" t="s">
        <v>275</v>
      </c>
      <c r="B55" s="523" t="s">
        <v>276</v>
      </c>
      <c r="C55" s="523" t="s">
        <v>277</v>
      </c>
      <c r="D55" s="523" t="s">
        <v>889</v>
      </c>
      <c r="E55" s="523" t="s">
        <v>890</v>
      </c>
      <c r="F55" s="523" t="s">
        <v>278</v>
      </c>
      <c r="G55" s="523"/>
      <c r="H55" s="523" t="s">
        <v>275</v>
      </c>
      <c r="I55" s="523" t="s">
        <v>276</v>
      </c>
      <c r="J55" s="523" t="s">
        <v>277</v>
      </c>
      <c r="K55" s="523" t="s">
        <v>889</v>
      </c>
      <c r="L55" s="523" t="s">
        <v>890</v>
      </c>
      <c r="M55" s="523" t="s">
        <v>278</v>
      </c>
      <c r="N55" s="525"/>
    </row>
    <row r="56" spans="1:14" ht="14.25" thickBot="1">
      <c r="A56" s="517"/>
      <c r="B56" s="524"/>
      <c r="C56" s="524"/>
      <c r="D56" s="524"/>
      <c r="E56" s="524"/>
      <c r="F56" s="3" t="s">
        <v>279</v>
      </c>
      <c r="G56" s="3" t="s">
        <v>280</v>
      </c>
      <c r="H56" s="524"/>
      <c r="I56" s="524"/>
      <c r="J56" s="524"/>
      <c r="K56" s="524"/>
      <c r="L56" s="524"/>
      <c r="M56" s="3" t="s">
        <v>279</v>
      </c>
      <c r="N56" s="4" t="s">
        <v>280</v>
      </c>
    </row>
    <row r="57" spans="1:14" ht="18" customHeight="1" thickTop="1">
      <c r="A57" s="526"/>
      <c r="B57" s="528"/>
      <c r="C57" s="22"/>
      <c r="D57" s="41"/>
      <c r="E57" s="41"/>
      <c r="F57" s="70"/>
      <c r="G57" s="71"/>
      <c r="H57" s="72" t="s">
        <v>281</v>
      </c>
      <c r="I57" s="520" t="s">
        <v>862</v>
      </c>
      <c r="J57" s="521"/>
      <c r="K57" s="10">
        <f>K58+K60+K66+K67+K72</f>
        <v>164748</v>
      </c>
      <c r="L57" s="10">
        <f>L58+L60+L66+L67+L72</f>
        <v>178908</v>
      </c>
      <c r="M57" s="11">
        <f aca="true" t="shared" si="13" ref="M57:M66">L57-K57</f>
        <v>14160</v>
      </c>
      <c r="N57" s="15">
        <f>M57*100/K57</f>
        <v>8.594945006919659</v>
      </c>
    </row>
    <row r="58" spans="1:14" ht="14.25" customHeight="1">
      <c r="A58" s="526"/>
      <c r="B58" s="528"/>
      <c r="C58" s="22"/>
      <c r="D58" s="41"/>
      <c r="E58" s="41"/>
      <c r="F58" s="70"/>
      <c r="G58" s="71"/>
      <c r="H58" s="73"/>
      <c r="I58" s="28" t="s">
        <v>928</v>
      </c>
      <c r="J58" s="9" t="s">
        <v>865</v>
      </c>
      <c r="K58" s="19">
        <f>SUM(K59:K59)</f>
        <v>4000</v>
      </c>
      <c r="L58" s="19">
        <f>SUM(L59:L59)</f>
        <v>4000</v>
      </c>
      <c r="M58" s="20">
        <f t="shared" si="13"/>
        <v>0</v>
      </c>
      <c r="N58" s="24">
        <f>M58*100/K58</f>
        <v>0</v>
      </c>
    </row>
    <row r="59" spans="1:14" ht="14.25" customHeight="1">
      <c r="A59" s="526"/>
      <c r="B59" s="528"/>
      <c r="C59" s="22"/>
      <c r="D59" s="41"/>
      <c r="E59" s="41"/>
      <c r="F59" s="70"/>
      <c r="G59" s="71"/>
      <c r="H59" s="73"/>
      <c r="I59" s="22"/>
      <c r="J59" s="74" t="s">
        <v>929</v>
      </c>
      <c r="K59" s="10">
        <v>4000</v>
      </c>
      <c r="L59" s="10">
        <v>4000</v>
      </c>
      <c r="M59" s="20">
        <f t="shared" si="13"/>
        <v>0</v>
      </c>
      <c r="N59" s="24">
        <f>M59*100/K59</f>
        <v>0</v>
      </c>
    </row>
    <row r="60" spans="1:14" ht="14.25" customHeight="1">
      <c r="A60" s="526"/>
      <c r="B60" s="528"/>
      <c r="C60" s="22"/>
      <c r="D60" s="41"/>
      <c r="E60" s="41"/>
      <c r="F60" s="70"/>
      <c r="G60" s="71"/>
      <c r="H60" s="22"/>
      <c r="I60" s="23" t="s">
        <v>930</v>
      </c>
      <c r="J60" s="18" t="s">
        <v>865</v>
      </c>
      <c r="K60" s="19">
        <f>SUM(K61:K65)</f>
        <v>51920</v>
      </c>
      <c r="L60" s="19">
        <f>SUM(L61:L65)</f>
        <v>55620</v>
      </c>
      <c r="M60" s="20">
        <f t="shared" si="13"/>
        <v>3700</v>
      </c>
      <c r="N60" s="24">
        <f>M60*100/K60</f>
        <v>7.126348228043144</v>
      </c>
    </row>
    <row r="61" spans="1:14" ht="14.25" customHeight="1">
      <c r="A61" s="526"/>
      <c r="B61" s="528"/>
      <c r="C61" s="75"/>
      <c r="D61" s="41"/>
      <c r="E61" s="41"/>
      <c r="F61" s="41"/>
      <c r="G61" s="76"/>
      <c r="H61" s="22"/>
      <c r="I61" s="22" t="s">
        <v>931</v>
      </c>
      <c r="J61" s="19" t="s">
        <v>932</v>
      </c>
      <c r="K61" s="19">
        <v>8000</v>
      </c>
      <c r="L61" s="19">
        <v>8000</v>
      </c>
      <c r="M61" s="20">
        <f t="shared" si="13"/>
        <v>0</v>
      </c>
      <c r="N61" s="24">
        <f>M61*100/K61</f>
        <v>0</v>
      </c>
    </row>
    <row r="62" spans="1:14" ht="14.25" customHeight="1">
      <c r="A62" s="526"/>
      <c r="B62" s="528"/>
      <c r="C62" s="75"/>
      <c r="D62" s="41"/>
      <c r="E62" s="41"/>
      <c r="F62" s="41"/>
      <c r="G62" s="76"/>
      <c r="H62" s="22"/>
      <c r="I62" s="22"/>
      <c r="J62" s="432" t="s">
        <v>933</v>
      </c>
      <c r="K62" s="19">
        <v>1000</v>
      </c>
      <c r="L62" s="19">
        <v>3000</v>
      </c>
      <c r="M62" s="26">
        <f t="shared" si="13"/>
        <v>2000</v>
      </c>
      <c r="N62" s="29">
        <v>0</v>
      </c>
    </row>
    <row r="63" spans="1:14" ht="14.25" customHeight="1">
      <c r="A63" s="526"/>
      <c r="B63" s="528"/>
      <c r="C63" s="75"/>
      <c r="D63" s="41"/>
      <c r="E63" s="41"/>
      <c r="F63" s="41"/>
      <c r="G63" s="77"/>
      <c r="H63" s="22"/>
      <c r="I63" s="22"/>
      <c r="J63" s="432" t="s">
        <v>934</v>
      </c>
      <c r="K63" s="19">
        <v>31740</v>
      </c>
      <c r="L63" s="19">
        <v>32440</v>
      </c>
      <c r="M63" s="20">
        <f t="shared" si="13"/>
        <v>700</v>
      </c>
      <c r="N63" s="24">
        <f>M63*100/K63</f>
        <v>2.205419029615627</v>
      </c>
    </row>
    <row r="64" spans="1:14" ht="14.25" customHeight="1">
      <c r="A64" s="526"/>
      <c r="B64" s="528"/>
      <c r="C64" s="41"/>
      <c r="D64" s="41"/>
      <c r="E64" s="41"/>
      <c r="F64" s="41"/>
      <c r="G64" s="77"/>
      <c r="H64" s="22"/>
      <c r="I64" s="22"/>
      <c r="J64" s="19" t="s">
        <v>935</v>
      </c>
      <c r="K64" s="19">
        <v>10560</v>
      </c>
      <c r="L64" s="19">
        <v>11560</v>
      </c>
      <c r="M64" s="20">
        <f t="shared" si="13"/>
        <v>1000</v>
      </c>
      <c r="N64" s="24">
        <f>M64*100/K64</f>
        <v>9.469696969696969</v>
      </c>
    </row>
    <row r="65" spans="1:14" ht="14.25" customHeight="1">
      <c r="A65" s="526"/>
      <c r="B65" s="528"/>
      <c r="C65" s="41"/>
      <c r="D65" s="41"/>
      <c r="E65" s="41"/>
      <c r="F65" s="41"/>
      <c r="G65" s="77"/>
      <c r="H65" s="22"/>
      <c r="I65" s="9"/>
      <c r="J65" s="19" t="s">
        <v>936</v>
      </c>
      <c r="K65" s="19">
        <v>620</v>
      </c>
      <c r="L65" s="19">
        <v>620</v>
      </c>
      <c r="M65" s="26">
        <f t="shared" si="13"/>
        <v>0</v>
      </c>
      <c r="N65" s="29">
        <f>M65*100/K65</f>
        <v>0</v>
      </c>
    </row>
    <row r="66" spans="1:14" ht="14.25" customHeight="1">
      <c r="A66" s="526"/>
      <c r="B66" s="528"/>
      <c r="C66" s="41"/>
      <c r="D66" s="41"/>
      <c r="E66" s="41"/>
      <c r="F66" s="41"/>
      <c r="G66" s="77"/>
      <c r="H66" s="22"/>
      <c r="I66" s="18" t="s">
        <v>937</v>
      </c>
      <c r="J66" s="432" t="s">
        <v>938</v>
      </c>
      <c r="K66" s="19">
        <v>10000</v>
      </c>
      <c r="L66" s="19">
        <v>10000</v>
      </c>
      <c r="M66" s="20">
        <f t="shared" si="13"/>
        <v>0</v>
      </c>
      <c r="N66" s="24">
        <f>M66*100/K66</f>
        <v>0</v>
      </c>
    </row>
    <row r="67" spans="1:14" ht="14.25" customHeight="1">
      <c r="A67" s="526"/>
      <c r="B67" s="528"/>
      <c r="C67" s="41"/>
      <c r="D67" s="41"/>
      <c r="E67" s="41"/>
      <c r="F67" s="41"/>
      <c r="G67" s="77"/>
      <c r="H67" s="22"/>
      <c r="I67" s="52" t="s">
        <v>939</v>
      </c>
      <c r="J67" s="433" t="s">
        <v>940</v>
      </c>
      <c r="K67" s="19">
        <f>K68+K69+K70+K71</f>
        <v>1566</v>
      </c>
      <c r="L67" s="19">
        <f>L68+L69+L70+L71</f>
        <v>1566</v>
      </c>
      <c r="M67" s="20">
        <f aca="true" t="shared" si="14" ref="M67:M76">L67-K67</f>
        <v>0</v>
      </c>
      <c r="N67" s="24">
        <f aca="true" t="shared" si="15" ref="N67:N87">M67*100/K67</f>
        <v>0</v>
      </c>
    </row>
    <row r="68" spans="1:14" ht="14.25" customHeight="1">
      <c r="A68" s="526"/>
      <c r="B68" s="528"/>
      <c r="C68" s="41"/>
      <c r="D68" s="41"/>
      <c r="E68" s="41"/>
      <c r="F68" s="41"/>
      <c r="G68" s="77"/>
      <c r="H68" s="22"/>
      <c r="I68" s="22"/>
      <c r="J68" s="25" t="s">
        <v>941</v>
      </c>
      <c r="K68" s="19">
        <v>685</v>
      </c>
      <c r="L68" s="19">
        <v>685</v>
      </c>
      <c r="M68" s="20">
        <f t="shared" si="14"/>
        <v>0</v>
      </c>
      <c r="N68" s="24">
        <f t="shared" si="15"/>
        <v>0</v>
      </c>
    </row>
    <row r="69" spans="1:14" ht="14.25" customHeight="1">
      <c r="A69" s="526"/>
      <c r="B69" s="528"/>
      <c r="C69" s="41"/>
      <c r="D69" s="41"/>
      <c r="E69" s="41"/>
      <c r="F69" s="41"/>
      <c r="G69" s="77"/>
      <c r="H69" s="22"/>
      <c r="I69" s="22"/>
      <c r="J69" s="19" t="s">
        <v>942</v>
      </c>
      <c r="K69" s="19">
        <v>461</v>
      </c>
      <c r="L69" s="19">
        <v>461</v>
      </c>
      <c r="M69" s="20">
        <f t="shared" si="14"/>
        <v>0</v>
      </c>
      <c r="N69" s="24">
        <f t="shared" si="15"/>
        <v>0</v>
      </c>
    </row>
    <row r="70" spans="1:14" ht="14.25" customHeight="1">
      <c r="A70" s="526"/>
      <c r="B70" s="528"/>
      <c r="C70" s="41"/>
      <c r="D70" s="41"/>
      <c r="E70" s="41"/>
      <c r="F70" s="41"/>
      <c r="G70" s="77"/>
      <c r="H70" s="22"/>
      <c r="I70" s="22"/>
      <c r="J70" s="19" t="s">
        <v>943</v>
      </c>
      <c r="K70" s="19">
        <v>120</v>
      </c>
      <c r="L70" s="19">
        <v>120</v>
      </c>
      <c r="M70" s="20">
        <f>L70-K70</f>
        <v>0</v>
      </c>
      <c r="N70" s="24">
        <f>M70*100/K70</f>
        <v>0</v>
      </c>
    </row>
    <row r="71" spans="1:14" ht="14.25" customHeight="1">
      <c r="A71" s="526"/>
      <c r="B71" s="528"/>
      <c r="C71" s="41"/>
      <c r="D71" s="41"/>
      <c r="E71" s="41"/>
      <c r="F71" s="41"/>
      <c r="G71" s="77"/>
      <c r="H71" s="22"/>
      <c r="I71" s="9"/>
      <c r="J71" s="19" t="s">
        <v>944</v>
      </c>
      <c r="K71" s="19">
        <v>300</v>
      </c>
      <c r="L71" s="19">
        <v>300</v>
      </c>
      <c r="M71" s="20">
        <f t="shared" si="14"/>
        <v>0</v>
      </c>
      <c r="N71" s="24">
        <v>0</v>
      </c>
    </row>
    <row r="72" spans="1:14" ht="14.25" customHeight="1">
      <c r="A72" s="526"/>
      <c r="B72" s="528"/>
      <c r="C72" s="41"/>
      <c r="D72" s="41"/>
      <c r="E72" s="41"/>
      <c r="F72" s="41"/>
      <c r="G72" s="77"/>
      <c r="H72" s="22"/>
      <c r="I72" s="34" t="s">
        <v>945</v>
      </c>
      <c r="J72" s="18" t="s">
        <v>865</v>
      </c>
      <c r="K72" s="19">
        <f>SUM(K73:K81)</f>
        <v>97262</v>
      </c>
      <c r="L72" s="19">
        <f>SUM(L73:L81)</f>
        <v>107722</v>
      </c>
      <c r="M72" s="20">
        <f t="shared" si="14"/>
        <v>10460</v>
      </c>
      <c r="N72" s="24">
        <f t="shared" si="15"/>
        <v>10.754457033579405</v>
      </c>
    </row>
    <row r="73" spans="1:14" ht="14.25" customHeight="1">
      <c r="A73" s="526"/>
      <c r="B73" s="528"/>
      <c r="C73" s="41"/>
      <c r="D73" s="41"/>
      <c r="E73" s="41"/>
      <c r="F73" s="41"/>
      <c r="G73" s="77"/>
      <c r="H73" s="22"/>
      <c r="I73" s="22"/>
      <c r="J73" s="433" t="s">
        <v>946</v>
      </c>
      <c r="K73" s="19">
        <v>25000</v>
      </c>
      <c r="L73" s="19">
        <v>25000</v>
      </c>
      <c r="M73" s="26">
        <f t="shared" si="14"/>
        <v>0</v>
      </c>
      <c r="N73" s="29">
        <f t="shared" si="15"/>
        <v>0</v>
      </c>
    </row>
    <row r="74" spans="1:14" ht="14.25" customHeight="1">
      <c r="A74" s="526"/>
      <c r="B74" s="528"/>
      <c r="C74" s="41"/>
      <c r="D74" s="41"/>
      <c r="E74" s="41"/>
      <c r="F74" s="41"/>
      <c r="G74" s="77"/>
      <c r="H74" s="22"/>
      <c r="I74" s="22"/>
      <c r="J74" s="78" t="s">
        <v>947</v>
      </c>
      <c r="K74" s="19">
        <v>20976</v>
      </c>
      <c r="L74" s="19">
        <v>20976</v>
      </c>
      <c r="M74" s="26">
        <f t="shared" si="14"/>
        <v>0</v>
      </c>
      <c r="N74" s="29">
        <f t="shared" si="15"/>
        <v>0</v>
      </c>
    </row>
    <row r="75" spans="1:14" ht="14.25" customHeight="1">
      <c r="A75" s="526"/>
      <c r="B75" s="528"/>
      <c r="C75" s="41"/>
      <c r="D75" s="41"/>
      <c r="E75" s="41"/>
      <c r="F75" s="41"/>
      <c r="G75" s="77"/>
      <c r="H75" s="22"/>
      <c r="I75" s="22"/>
      <c r="J75" s="79" t="s">
        <v>948</v>
      </c>
      <c r="K75" s="19">
        <v>19200</v>
      </c>
      <c r="L75" s="19">
        <v>19200</v>
      </c>
      <c r="M75" s="26">
        <f t="shared" si="14"/>
        <v>0</v>
      </c>
      <c r="N75" s="29">
        <f t="shared" si="15"/>
        <v>0</v>
      </c>
    </row>
    <row r="76" spans="1:14" ht="14.25" customHeight="1">
      <c r="A76" s="526"/>
      <c r="B76" s="528"/>
      <c r="C76" s="41"/>
      <c r="D76" s="41"/>
      <c r="E76" s="41"/>
      <c r="F76" s="41"/>
      <c r="G76" s="77"/>
      <c r="H76" s="528"/>
      <c r="I76" s="528"/>
      <c r="J76" s="79" t="s">
        <v>949</v>
      </c>
      <c r="K76" s="19">
        <v>16486</v>
      </c>
      <c r="L76" s="19">
        <v>16486</v>
      </c>
      <c r="M76" s="20">
        <f t="shared" si="14"/>
        <v>0</v>
      </c>
      <c r="N76" s="24">
        <f t="shared" si="15"/>
        <v>0</v>
      </c>
    </row>
    <row r="77" spans="1:14" ht="14.25" customHeight="1">
      <c r="A77" s="526"/>
      <c r="B77" s="528"/>
      <c r="C77" s="41"/>
      <c r="D77" s="41"/>
      <c r="E77" s="41"/>
      <c r="F77" s="41"/>
      <c r="G77" s="77"/>
      <c r="H77" s="528"/>
      <c r="I77" s="528"/>
      <c r="J77" s="80" t="s">
        <v>950</v>
      </c>
      <c r="K77" s="19">
        <v>600</v>
      </c>
      <c r="L77" s="19">
        <v>700</v>
      </c>
      <c r="M77" s="26">
        <f aca="true" t="shared" si="16" ref="M77:M87">L77-K77</f>
        <v>100</v>
      </c>
      <c r="N77" s="29">
        <f t="shared" si="15"/>
        <v>16.666666666666668</v>
      </c>
    </row>
    <row r="78" spans="1:14" ht="14.25" customHeight="1">
      <c r="A78" s="526"/>
      <c r="B78" s="528"/>
      <c r="C78" s="41"/>
      <c r="D78" s="41"/>
      <c r="E78" s="41"/>
      <c r="F78" s="41"/>
      <c r="G78" s="77"/>
      <c r="H78" s="528"/>
      <c r="I78" s="528"/>
      <c r="J78" s="79" t="s">
        <v>951</v>
      </c>
      <c r="K78" s="19">
        <v>4000</v>
      </c>
      <c r="L78" s="19">
        <v>4000</v>
      </c>
      <c r="M78" s="26">
        <f>L78-K78</f>
        <v>0</v>
      </c>
      <c r="N78" s="29">
        <f>M78*100/K78</f>
        <v>0</v>
      </c>
    </row>
    <row r="79" spans="1:14" ht="14.25" customHeight="1">
      <c r="A79" s="526"/>
      <c r="B79" s="528"/>
      <c r="C79" s="41"/>
      <c r="D79" s="41"/>
      <c r="E79" s="41"/>
      <c r="F79" s="41"/>
      <c r="G79" s="77"/>
      <c r="H79" s="528"/>
      <c r="I79" s="528"/>
      <c r="J79" s="79" t="s">
        <v>952</v>
      </c>
      <c r="K79" s="19">
        <v>11000</v>
      </c>
      <c r="L79" s="19">
        <v>11000</v>
      </c>
      <c r="M79" s="20">
        <f>L79-K79</f>
        <v>0</v>
      </c>
      <c r="N79" s="29">
        <v>0</v>
      </c>
    </row>
    <row r="80" spans="1:14" ht="14.25" customHeight="1">
      <c r="A80" s="526"/>
      <c r="B80" s="528"/>
      <c r="C80" s="41"/>
      <c r="D80" s="41"/>
      <c r="E80" s="41"/>
      <c r="F80" s="41"/>
      <c r="G80" s="77"/>
      <c r="H80" s="528"/>
      <c r="I80" s="528"/>
      <c r="J80" s="79" t="s">
        <v>1011</v>
      </c>
      <c r="K80" s="19">
        <v>0</v>
      </c>
      <c r="L80" s="19">
        <v>360</v>
      </c>
      <c r="M80" s="26">
        <f>L80-K80</f>
        <v>360</v>
      </c>
      <c r="N80" s="29">
        <v>0</v>
      </c>
    </row>
    <row r="81" spans="1:14" ht="14.25" customHeight="1">
      <c r="A81" s="526"/>
      <c r="B81" s="528"/>
      <c r="C81" s="41"/>
      <c r="D81" s="41"/>
      <c r="E81" s="41"/>
      <c r="F81" s="41"/>
      <c r="G81" s="77"/>
      <c r="H81" s="530"/>
      <c r="I81" s="530"/>
      <c r="J81" s="79" t="s">
        <v>1012</v>
      </c>
      <c r="K81" s="19">
        <v>0</v>
      </c>
      <c r="L81" s="19">
        <v>10000</v>
      </c>
      <c r="M81" s="20">
        <f t="shared" si="16"/>
        <v>10000</v>
      </c>
      <c r="N81" s="29">
        <v>0</v>
      </c>
    </row>
    <row r="82" spans="1:14" ht="14.25" customHeight="1">
      <c r="A82" s="526"/>
      <c r="B82" s="528"/>
      <c r="C82" s="41"/>
      <c r="D82" s="41"/>
      <c r="E82" s="41"/>
      <c r="F82" s="41"/>
      <c r="G82" s="77"/>
      <c r="H82" s="17" t="s">
        <v>953</v>
      </c>
      <c r="I82" s="522" t="s">
        <v>862</v>
      </c>
      <c r="J82" s="522"/>
      <c r="K82" s="19">
        <f>K83</f>
        <v>0</v>
      </c>
      <c r="L82" s="19">
        <f>L83</f>
        <v>0</v>
      </c>
      <c r="M82" s="20">
        <f t="shared" si="16"/>
        <v>0</v>
      </c>
      <c r="N82" s="24">
        <v>0</v>
      </c>
    </row>
    <row r="83" spans="1:14" ht="14.25" customHeight="1">
      <c r="A83" s="526"/>
      <c r="B83" s="528"/>
      <c r="C83" s="41"/>
      <c r="D83" s="41"/>
      <c r="E83" s="41"/>
      <c r="F83" s="41"/>
      <c r="G83" s="77"/>
      <c r="H83" s="10" t="s">
        <v>954</v>
      </c>
      <c r="I83" s="19" t="s">
        <v>955</v>
      </c>
      <c r="J83" s="19" t="s">
        <v>956</v>
      </c>
      <c r="K83" s="19">
        <v>0</v>
      </c>
      <c r="L83" s="19">
        <v>0</v>
      </c>
      <c r="M83" s="20">
        <f t="shared" si="16"/>
        <v>0</v>
      </c>
      <c r="N83" s="24">
        <v>0</v>
      </c>
    </row>
    <row r="84" spans="1:14" ht="14.25" customHeight="1">
      <c r="A84" s="526"/>
      <c r="B84" s="528"/>
      <c r="C84" s="41"/>
      <c r="D84" s="41"/>
      <c r="E84" s="41"/>
      <c r="F84" s="41"/>
      <c r="G84" s="77"/>
      <c r="H84" s="39" t="s">
        <v>957</v>
      </c>
      <c r="I84" s="522" t="s">
        <v>862</v>
      </c>
      <c r="J84" s="522"/>
      <c r="K84" s="19">
        <v>0</v>
      </c>
      <c r="L84" s="19">
        <v>0</v>
      </c>
      <c r="M84" s="26">
        <f t="shared" si="16"/>
        <v>0</v>
      </c>
      <c r="N84" s="29">
        <v>0</v>
      </c>
    </row>
    <row r="85" spans="1:14" ht="14.25" customHeight="1">
      <c r="A85" s="526"/>
      <c r="B85" s="528"/>
      <c r="C85" s="41"/>
      <c r="D85" s="41"/>
      <c r="E85" s="41"/>
      <c r="F85" s="41"/>
      <c r="G85" s="77"/>
      <c r="H85" s="81"/>
      <c r="I85" s="19" t="s">
        <v>958</v>
      </c>
      <c r="J85" s="19" t="s">
        <v>959</v>
      </c>
      <c r="K85" s="19">
        <v>0</v>
      </c>
      <c r="L85" s="19">
        <v>0</v>
      </c>
      <c r="M85" s="26">
        <f t="shared" si="16"/>
        <v>0</v>
      </c>
      <c r="N85" s="29">
        <v>0</v>
      </c>
    </row>
    <row r="86" spans="1:14" ht="14.25" customHeight="1">
      <c r="A86" s="526"/>
      <c r="B86" s="528"/>
      <c r="C86" s="41"/>
      <c r="D86" s="41"/>
      <c r="E86" s="41"/>
      <c r="F86" s="41"/>
      <c r="G86" s="77"/>
      <c r="H86" s="17" t="s">
        <v>960</v>
      </c>
      <c r="I86" s="522" t="s">
        <v>862</v>
      </c>
      <c r="J86" s="522"/>
      <c r="K86" s="19">
        <f>K87</f>
        <v>8532</v>
      </c>
      <c r="L86" s="19">
        <f>L87</f>
        <v>8532</v>
      </c>
      <c r="M86" s="20">
        <f t="shared" si="16"/>
        <v>0</v>
      </c>
      <c r="N86" s="29">
        <f t="shared" si="15"/>
        <v>0</v>
      </c>
    </row>
    <row r="87" spans="1:14" ht="18.75" customHeight="1" thickBot="1">
      <c r="A87" s="527"/>
      <c r="B87" s="529"/>
      <c r="C87" s="67"/>
      <c r="D87" s="67"/>
      <c r="E87" s="67"/>
      <c r="F87" s="67"/>
      <c r="G87" s="82"/>
      <c r="H87" s="47"/>
      <c r="I87" s="42" t="s">
        <v>961</v>
      </c>
      <c r="J87" s="42" t="s">
        <v>962</v>
      </c>
      <c r="K87" s="42">
        <v>8532</v>
      </c>
      <c r="L87" s="42">
        <v>8532</v>
      </c>
      <c r="M87" s="43">
        <f t="shared" si="16"/>
        <v>0</v>
      </c>
      <c r="N87" s="83">
        <f t="shared" si="15"/>
        <v>0</v>
      </c>
    </row>
  </sheetData>
  <mergeCells count="58"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A6:C6"/>
    <mergeCell ref="H6:J6"/>
    <mergeCell ref="B7:C7"/>
    <mergeCell ref="I7:J7"/>
    <mergeCell ref="A30:G30"/>
    <mergeCell ref="H30:N30"/>
    <mergeCell ref="A31:A32"/>
    <mergeCell ref="B31:B32"/>
    <mergeCell ref="C31:C32"/>
    <mergeCell ref="D31:D32"/>
    <mergeCell ref="E31:E32"/>
    <mergeCell ref="F31:G31"/>
    <mergeCell ref="H31:H32"/>
    <mergeCell ref="I31:I32"/>
    <mergeCell ref="A54:G54"/>
    <mergeCell ref="H54:N54"/>
    <mergeCell ref="A55:A56"/>
    <mergeCell ref="B55:B56"/>
    <mergeCell ref="C55:C56"/>
    <mergeCell ref="D55:D56"/>
    <mergeCell ref="E55:E56"/>
    <mergeCell ref="F55:G55"/>
    <mergeCell ref="H55:H56"/>
    <mergeCell ref="A57:A75"/>
    <mergeCell ref="B57:B75"/>
    <mergeCell ref="J55:J56"/>
    <mergeCell ref="K55:K56"/>
    <mergeCell ref="I55:I56"/>
    <mergeCell ref="A76:A87"/>
    <mergeCell ref="B76:B87"/>
    <mergeCell ref="H76:H81"/>
    <mergeCell ref="I76:I81"/>
    <mergeCell ref="I84:J84"/>
    <mergeCell ref="I86:J86"/>
    <mergeCell ref="L2:N2"/>
    <mergeCell ref="I57:J57"/>
    <mergeCell ref="I82:J82"/>
    <mergeCell ref="L55:L56"/>
    <mergeCell ref="M55:N55"/>
    <mergeCell ref="J31:J32"/>
    <mergeCell ref="K31:K32"/>
    <mergeCell ref="L31:L32"/>
    <mergeCell ref="M31:N31"/>
    <mergeCell ref="M4:N4"/>
  </mergeCells>
  <printOptions/>
  <pageMargins left="0.1968503937007874" right="0.1968503937007874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1">
      <selection activeCell="G41" sqref="G41"/>
    </sheetView>
  </sheetViews>
  <sheetFormatPr defaultColWidth="8.88671875" defaultRowHeight="13.5"/>
  <cols>
    <col min="1" max="1" width="7.5546875" style="0" customWidth="1"/>
    <col min="2" max="2" width="9.88671875" style="0" customWidth="1"/>
    <col min="3" max="3" width="12.3359375" style="0" customWidth="1"/>
    <col min="4" max="4" width="7.6640625" style="0" customWidth="1"/>
    <col min="5" max="7" width="7.4453125" style="0" customWidth="1"/>
    <col min="8" max="8" width="7.5546875" style="0" customWidth="1"/>
    <col min="9" max="9" width="7.4453125" style="0" customWidth="1"/>
    <col min="10" max="10" width="13.3359375" style="0" customWidth="1"/>
    <col min="12" max="12" width="8.21484375" style="0" customWidth="1"/>
    <col min="13" max="13" width="7.77734375" style="0" customWidth="1"/>
    <col min="14" max="14" width="7.5546875" style="0" customWidth="1"/>
  </cols>
  <sheetData>
    <row r="1" spans="1:14" ht="25.5">
      <c r="A1" s="512" t="s">
        <v>846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4" ht="13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9.5" thickBot="1">
      <c r="A3" s="2" t="s">
        <v>0</v>
      </c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 t="s">
        <v>287</v>
      </c>
      <c r="N3" s="2"/>
    </row>
    <row r="4" spans="1:14" ht="17.25" customHeight="1">
      <c r="A4" s="494" t="s">
        <v>288</v>
      </c>
      <c r="B4" s="514"/>
      <c r="C4" s="514"/>
      <c r="D4" s="514"/>
      <c r="E4" s="514"/>
      <c r="F4" s="514"/>
      <c r="G4" s="514"/>
      <c r="H4" s="514" t="s">
        <v>289</v>
      </c>
      <c r="I4" s="514"/>
      <c r="J4" s="514"/>
      <c r="K4" s="514"/>
      <c r="L4" s="514"/>
      <c r="M4" s="514"/>
      <c r="N4" s="515"/>
    </row>
    <row r="5" spans="1:14" ht="13.5">
      <c r="A5" s="516" t="s">
        <v>290</v>
      </c>
      <c r="B5" s="523" t="s">
        <v>291</v>
      </c>
      <c r="C5" s="523" t="s">
        <v>292</v>
      </c>
      <c r="D5" s="523" t="s">
        <v>293</v>
      </c>
      <c r="E5" s="523" t="s">
        <v>294</v>
      </c>
      <c r="F5" s="523" t="s">
        <v>295</v>
      </c>
      <c r="G5" s="523"/>
      <c r="H5" s="523" t="s">
        <v>290</v>
      </c>
      <c r="I5" s="523" t="s">
        <v>291</v>
      </c>
      <c r="J5" s="523" t="s">
        <v>292</v>
      </c>
      <c r="K5" s="523" t="s">
        <v>293</v>
      </c>
      <c r="L5" s="523" t="s">
        <v>294</v>
      </c>
      <c r="M5" s="523" t="s">
        <v>295</v>
      </c>
      <c r="N5" s="525"/>
    </row>
    <row r="6" spans="1:14" ht="13.5" customHeight="1" thickBot="1">
      <c r="A6" s="517"/>
      <c r="B6" s="524"/>
      <c r="C6" s="524"/>
      <c r="D6" s="524"/>
      <c r="E6" s="524"/>
      <c r="F6" s="3" t="s">
        <v>296</v>
      </c>
      <c r="G6" s="3" t="s">
        <v>297</v>
      </c>
      <c r="H6" s="524"/>
      <c r="I6" s="524"/>
      <c r="J6" s="524"/>
      <c r="K6" s="524"/>
      <c r="L6" s="524"/>
      <c r="M6" s="3" t="s">
        <v>296</v>
      </c>
      <c r="N6" s="4" t="s">
        <v>297</v>
      </c>
    </row>
    <row r="7" spans="1:14" ht="15" thickBot="1" thickTop="1">
      <c r="A7" s="509" t="s">
        <v>298</v>
      </c>
      <c r="B7" s="510"/>
      <c r="C7" s="510"/>
      <c r="D7" s="85">
        <f>D8+D16+D19</f>
        <v>104048</v>
      </c>
      <c r="E7" s="85">
        <f>E8+E16+E19</f>
        <v>108807</v>
      </c>
      <c r="F7" s="86">
        <f>E7-D7</f>
        <v>4759</v>
      </c>
      <c r="G7" s="87">
        <f>F7*100/D7</f>
        <v>4.573850530524373</v>
      </c>
      <c r="H7" s="511" t="s">
        <v>299</v>
      </c>
      <c r="I7" s="511"/>
      <c r="J7" s="511"/>
      <c r="K7" s="85">
        <f>K8+K24+K36</f>
        <v>104048</v>
      </c>
      <c r="L7" s="85">
        <f>L8+L24+L36</f>
        <v>108807</v>
      </c>
      <c r="M7" s="86">
        <f>L7-K7</f>
        <v>4759</v>
      </c>
      <c r="N7" s="88">
        <f aca="true" t="shared" si="0" ref="N7:N17">M7*100/K7</f>
        <v>4.573850530524373</v>
      </c>
    </row>
    <row r="8" spans="1:14" ht="12.75" customHeight="1">
      <c r="A8" s="89" t="s">
        <v>300</v>
      </c>
      <c r="B8" s="480" t="s">
        <v>301</v>
      </c>
      <c r="C8" s="479"/>
      <c r="D8" s="10">
        <f>D9+D14</f>
        <v>99396</v>
      </c>
      <c r="E8" s="10">
        <f>E9+E14</f>
        <v>108782</v>
      </c>
      <c r="F8" s="90">
        <f>E8-D8</f>
        <v>9386</v>
      </c>
      <c r="G8" s="91">
        <f>F8*100/D8</f>
        <v>9.443035937059841</v>
      </c>
      <c r="H8" s="28" t="s">
        <v>302</v>
      </c>
      <c r="I8" s="495" t="s">
        <v>301</v>
      </c>
      <c r="J8" s="496"/>
      <c r="K8" s="10">
        <f>K9+K17</f>
        <v>63158</v>
      </c>
      <c r="L8" s="10">
        <f>L9+L17</f>
        <v>62609</v>
      </c>
      <c r="M8" s="90">
        <f>L8-K8</f>
        <v>-549</v>
      </c>
      <c r="N8" s="92">
        <f t="shared" si="0"/>
        <v>-0.8692485512524146</v>
      </c>
    </row>
    <row r="9" spans="1:14" ht="12.75" customHeight="1">
      <c r="A9" s="93" t="s">
        <v>303</v>
      </c>
      <c r="B9" s="34" t="s">
        <v>304</v>
      </c>
      <c r="C9" s="37" t="s">
        <v>305</v>
      </c>
      <c r="D9" s="19">
        <f>SUM(D10:D12)</f>
        <v>58596</v>
      </c>
      <c r="E9" s="19">
        <f>SUM(E10:E12)</f>
        <v>60282</v>
      </c>
      <c r="F9" s="19">
        <f>E9-D9</f>
        <v>1686</v>
      </c>
      <c r="G9" s="94">
        <f>F9*100/D9</f>
        <v>2.877329510546795</v>
      </c>
      <c r="H9" s="22"/>
      <c r="I9" s="23" t="s">
        <v>306</v>
      </c>
      <c r="J9" s="18" t="s">
        <v>305</v>
      </c>
      <c r="K9" s="19">
        <f>SUM(K10:K16)</f>
        <v>59185</v>
      </c>
      <c r="L9" s="19">
        <f>SUM(L10:L16)</f>
        <v>59127</v>
      </c>
      <c r="M9" s="95">
        <f>L9-K9</f>
        <v>-58</v>
      </c>
      <c r="N9" s="96">
        <f t="shared" si="0"/>
        <v>-0.09799780349750782</v>
      </c>
    </row>
    <row r="10" spans="1:14" ht="12.75" customHeight="1">
      <c r="A10" s="93"/>
      <c r="B10" s="22"/>
      <c r="C10" s="97" t="s">
        <v>270</v>
      </c>
      <c r="D10" s="19">
        <v>0</v>
      </c>
      <c r="E10" s="19">
        <v>56727</v>
      </c>
      <c r="F10" s="19">
        <f>E10-D10</f>
        <v>56727</v>
      </c>
      <c r="G10" s="94">
        <v>0</v>
      </c>
      <c r="H10" s="22"/>
      <c r="I10" s="22"/>
      <c r="J10" s="19" t="s">
        <v>307</v>
      </c>
      <c r="K10" s="19">
        <v>24912</v>
      </c>
      <c r="L10" s="19">
        <v>23920</v>
      </c>
      <c r="M10" s="95">
        <f aca="true" t="shared" si="1" ref="M10:M23">L10-K10</f>
        <v>-992</v>
      </c>
      <c r="N10" s="96">
        <f t="shared" si="0"/>
        <v>-3.9820166987797045</v>
      </c>
    </row>
    <row r="11" spans="1:14" ht="12.75" customHeight="1">
      <c r="A11" s="93"/>
      <c r="B11" s="22"/>
      <c r="C11" s="40" t="s">
        <v>308</v>
      </c>
      <c r="D11" s="19">
        <v>2400</v>
      </c>
      <c r="E11" s="19">
        <v>2400</v>
      </c>
      <c r="F11" s="19">
        <f>E11-D11</f>
        <v>0</v>
      </c>
      <c r="G11" s="94">
        <f>F11*100/D11</f>
        <v>0</v>
      </c>
      <c r="H11" s="22"/>
      <c r="I11" s="22"/>
      <c r="J11" s="19" t="s">
        <v>309</v>
      </c>
      <c r="K11" s="19">
        <v>9193</v>
      </c>
      <c r="L11" s="19">
        <v>11514</v>
      </c>
      <c r="M11" s="95">
        <f t="shared" si="1"/>
        <v>2321</v>
      </c>
      <c r="N11" s="96">
        <f t="shared" si="0"/>
        <v>25.247470901773088</v>
      </c>
    </row>
    <row r="12" spans="1:14" ht="12.75" customHeight="1">
      <c r="A12" s="93"/>
      <c r="B12" s="41"/>
      <c r="C12" s="98" t="s">
        <v>310</v>
      </c>
      <c r="D12" s="19">
        <v>56196</v>
      </c>
      <c r="E12" s="19">
        <v>1155</v>
      </c>
      <c r="F12" s="95">
        <f aca="true" t="shared" si="2" ref="F12:F22">E12-D12</f>
        <v>-55041</v>
      </c>
      <c r="G12" s="99">
        <f>F12*100/D12</f>
        <v>-97.94469357249626</v>
      </c>
      <c r="H12" s="22"/>
      <c r="I12" s="22"/>
      <c r="J12" s="19" t="s">
        <v>311</v>
      </c>
      <c r="K12" s="19">
        <v>8621</v>
      </c>
      <c r="L12" s="19">
        <v>11119</v>
      </c>
      <c r="M12" s="19">
        <f t="shared" si="1"/>
        <v>2498</v>
      </c>
      <c r="N12" s="100">
        <f t="shared" si="0"/>
        <v>28.97575687275258</v>
      </c>
    </row>
    <row r="13" spans="1:14" ht="12.75" customHeight="1">
      <c r="A13" s="101"/>
      <c r="B13" s="9"/>
      <c r="C13" s="81"/>
      <c r="D13" s="19"/>
      <c r="E13" s="19"/>
      <c r="F13" s="95"/>
      <c r="G13" s="99"/>
      <c r="H13" s="22"/>
      <c r="I13" s="22"/>
      <c r="J13" s="31" t="s">
        <v>312</v>
      </c>
      <c r="K13" s="19">
        <v>8515</v>
      </c>
      <c r="L13" s="19">
        <v>4240</v>
      </c>
      <c r="M13" s="95">
        <f t="shared" si="1"/>
        <v>-4275</v>
      </c>
      <c r="N13" s="96">
        <f t="shared" si="0"/>
        <v>-50.205519671168524</v>
      </c>
    </row>
    <row r="14" spans="1:14" ht="12.75" customHeight="1">
      <c r="A14" s="89"/>
      <c r="B14" s="41" t="s">
        <v>313</v>
      </c>
      <c r="C14" s="18" t="s">
        <v>305</v>
      </c>
      <c r="D14" s="19">
        <f>SUM(D15)</f>
        <v>40800</v>
      </c>
      <c r="E14" s="19">
        <f>SUM(E15)</f>
        <v>48500</v>
      </c>
      <c r="F14" s="95">
        <f t="shared" si="2"/>
        <v>7700</v>
      </c>
      <c r="G14" s="99">
        <f aca="true" t="shared" si="3" ref="G14:G22">F14*100/D14</f>
        <v>18.872549019607842</v>
      </c>
      <c r="H14" s="22"/>
      <c r="I14" s="22"/>
      <c r="J14" s="19" t="s">
        <v>314</v>
      </c>
      <c r="K14" s="19">
        <v>3624</v>
      </c>
      <c r="L14" s="19">
        <v>4014</v>
      </c>
      <c r="M14" s="95">
        <f t="shared" si="1"/>
        <v>390</v>
      </c>
      <c r="N14" s="96">
        <f t="shared" si="0"/>
        <v>10.76158940397351</v>
      </c>
    </row>
    <row r="15" spans="1:14" ht="12.75" customHeight="1">
      <c r="A15" s="102"/>
      <c r="B15" s="9"/>
      <c r="C15" s="19" t="s">
        <v>315</v>
      </c>
      <c r="D15" s="19">
        <v>40800</v>
      </c>
      <c r="E15" s="19">
        <v>48500</v>
      </c>
      <c r="F15" s="95">
        <f t="shared" si="2"/>
        <v>7700</v>
      </c>
      <c r="G15" s="99">
        <f t="shared" si="3"/>
        <v>18.872549019607842</v>
      </c>
      <c r="H15" s="22"/>
      <c r="I15" s="22"/>
      <c r="J15" s="19" t="s">
        <v>316</v>
      </c>
      <c r="K15" s="19">
        <v>1920</v>
      </c>
      <c r="L15" s="19">
        <v>1920</v>
      </c>
      <c r="M15" s="19">
        <f>L15-K15</f>
        <v>0</v>
      </c>
      <c r="N15" s="100">
        <f t="shared" si="0"/>
        <v>0</v>
      </c>
    </row>
    <row r="16" spans="1:14" ht="12.75" customHeight="1">
      <c r="A16" s="103" t="s">
        <v>317</v>
      </c>
      <c r="B16" s="477" t="s">
        <v>301</v>
      </c>
      <c r="C16" s="37"/>
      <c r="D16" s="19">
        <f>D17</f>
        <v>304</v>
      </c>
      <c r="E16" s="19">
        <f>E17</f>
        <v>25</v>
      </c>
      <c r="F16" s="95">
        <f t="shared" si="2"/>
        <v>-279</v>
      </c>
      <c r="G16" s="99">
        <f>F16*100/D16</f>
        <v>-91.77631578947368</v>
      </c>
      <c r="H16" s="22"/>
      <c r="I16" s="10"/>
      <c r="J16" s="81" t="s">
        <v>255</v>
      </c>
      <c r="K16" s="19">
        <v>2400</v>
      </c>
      <c r="L16" s="19">
        <v>2400</v>
      </c>
      <c r="M16" s="19">
        <f t="shared" si="1"/>
        <v>0</v>
      </c>
      <c r="N16" s="100">
        <f t="shared" si="0"/>
        <v>0</v>
      </c>
    </row>
    <row r="17" spans="1:14" ht="12.75" customHeight="1">
      <c r="A17" s="89"/>
      <c r="B17" s="34" t="s">
        <v>318</v>
      </c>
      <c r="C17" s="18" t="s">
        <v>305</v>
      </c>
      <c r="D17" s="19">
        <f>D18</f>
        <v>304</v>
      </c>
      <c r="E17" s="19">
        <f>E18</f>
        <v>25</v>
      </c>
      <c r="F17" s="95">
        <f t="shared" si="2"/>
        <v>-279</v>
      </c>
      <c r="G17" s="99">
        <f>F17*100/D17</f>
        <v>-91.77631578947368</v>
      </c>
      <c r="H17" s="104"/>
      <c r="I17" s="28" t="s">
        <v>319</v>
      </c>
      <c r="J17" s="18" t="s">
        <v>305</v>
      </c>
      <c r="K17" s="19">
        <f>SUM(K18:K23)</f>
        <v>3973</v>
      </c>
      <c r="L17" s="19">
        <f>SUM(L18:L23)</f>
        <v>3482</v>
      </c>
      <c r="M17" s="95">
        <f t="shared" si="1"/>
        <v>-491</v>
      </c>
      <c r="N17" s="96">
        <f t="shared" si="0"/>
        <v>-12.358419330480745</v>
      </c>
    </row>
    <row r="18" spans="1:14" ht="12.75" customHeight="1">
      <c r="A18" s="102"/>
      <c r="B18" s="9"/>
      <c r="C18" s="25" t="s">
        <v>249</v>
      </c>
      <c r="D18" s="19">
        <v>304</v>
      </c>
      <c r="E18" s="19">
        <v>25</v>
      </c>
      <c r="F18" s="95">
        <f t="shared" si="2"/>
        <v>-279</v>
      </c>
      <c r="G18" s="99">
        <f>F18*100/D18</f>
        <v>-91.77631578947368</v>
      </c>
      <c r="H18" s="104"/>
      <c r="I18" s="22"/>
      <c r="J18" s="19" t="s">
        <v>320</v>
      </c>
      <c r="K18" s="19">
        <v>0</v>
      </c>
      <c r="L18" s="19">
        <v>200</v>
      </c>
      <c r="M18" s="19">
        <f t="shared" si="1"/>
        <v>200</v>
      </c>
      <c r="N18" s="100">
        <v>0</v>
      </c>
    </row>
    <row r="19" spans="1:14" ht="12.75" customHeight="1">
      <c r="A19" s="103" t="s">
        <v>321</v>
      </c>
      <c r="B19" s="477" t="s">
        <v>301</v>
      </c>
      <c r="C19" s="37"/>
      <c r="D19" s="19">
        <f>D20</f>
        <v>4348</v>
      </c>
      <c r="E19" s="19">
        <f>E20</f>
        <v>0</v>
      </c>
      <c r="F19" s="95">
        <f t="shared" si="2"/>
        <v>-4348</v>
      </c>
      <c r="G19" s="99">
        <f t="shared" si="3"/>
        <v>-100</v>
      </c>
      <c r="H19" s="104"/>
      <c r="I19" s="22"/>
      <c r="J19" s="35" t="s">
        <v>259</v>
      </c>
      <c r="K19" s="19">
        <v>800</v>
      </c>
      <c r="L19" s="19">
        <v>702</v>
      </c>
      <c r="M19" s="95">
        <f t="shared" si="1"/>
        <v>-98</v>
      </c>
      <c r="N19" s="100">
        <v>0</v>
      </c>
    </row>
    <row r="20" spans="1:14" ht="12.75" customHeight="1">
      <c r="A20" s="89"/>
      <c r="B20" s="34" t="s">
        <v>322</v>
      </c>
      <c r="C20" s="18" t="s">
        <v>305</v>
      </c>
      <c r="D20" s="19">
        <f>SUM(D21:D22)</f>
        <v>4348</v>
      </c>
      <c r="E20" s="19">
        <f>SUM(E21:E22)</f>
        <v>0</v>
      </c>
      <c r="F20" s="95">
        <f t="shared" si="2"/>
        <v>-4348</v>
      </c>
      <c r="G20" s="99">
        <f t="shared" si="3"/>
        <v>-100</v>
      </c>
      <c r="H20" s="104"/>
      <c r="I20" s="22"/>
      <c r="J20" s="19" t="s">
        <v>243</v>
      </c>
      <c r="K20" s="19">
        <v>407</v>
      </c>
      <c r="L20" s="19">
        <v>580</v>
      </c>
      <c r="M20" s="19">
        <f t="shared" si="1"/>
        <v>173</v>
      </c>
      <c r="N20" s="100">
        <v>0</v>
      </c>
    </row>
    <row r="21" spans="1:14" ht="12.75" customHeight="1">
      <c r="A21" s="89"/>
      <c r="B21" s="22"/>
      <c r="C21" s="25" t="s">
        <v>323</v>
      </c>
      <c r="D21" s="19">
        <v>3</v>
      </c>
      <c r="E21" s="19">
        <v>0</v>
      </c>
      <c r="F21" s="95">
        <f t="shared" si="2"/>
        <v>-3</v>
      </c>
      <c r="G21" s="99">
        <f t="shared" si="3"/>
        <v>-100</v>
      </c>
      <c r="H21" s="22"/>
      <c r="I21" s="22"/>
      <c r="J21" s="19" t="s">
        <v>244</v>
      </c>
      <c r="K21" s="19">
        <v>1400</v>
      </c>
      <c r="L21" s="19">
        <v>1600</v>
      </c>
      <c r="M21" s="19">
        <f t="shared" si="1"/>
        <v>200</v>
      </c>
      <c r="N21" s="100">
        <f>M21*100/K21</f>
        <v>14.285714285714286</v>
      </c>
    </row>
    <row r="22" spans="1:14" ht="12.75" customHeight="1">
      <c r="A22" s="89"/>
      <c r="B22" s="22"/>
      <c r="C22" s="25" t="s">
        <v>324</v>
      </c>
      <c r="D22" s="19">
        <v>4345</v>
      </c>
      <c r="E22" s="19">
        <v>0</v>
      </c>
      <c r="F22" s="95">
        <f t="shared" si="2"/>
        <v>-4345</v>
      </c>
      <c r="G22" s="99">
        <f t="shared" si="3"/>
        <v>-100</v>
      </c>
      <c r="H22" s="22"/>
      <c r="I22" s="105"/>
      <c r="J22" s="106" t="s">
        <v>325</v>
      </c>
      <c r="K22" s="34">
        <v>766</v>
      </c>
      <c r="L22" s="34">
        <v>400</v>
      </c>
      <c r="M22" s="107">
        <f>L22-K22</f>
        <v>-366</v>
      </c>
      <c r="N22" s="108">
        <f>M22*100/K22</f>
        <v>-47.78067885117493</v>
      </c>
    </row>
    <row r="23" spans="1:14" ht="12.75" customHeight="1">
      <c r="A23" s="109"/>
      <c r="B23" s="110"/>
      <c r="C23" s="111"/>
      <c r="D23" s="111"/>
      <c r="E23" s="111"/>
      <c r="F23" s="111"/>
      <c r="G23" s="111"/>
      <c r="H23" s="112" t="s">
        <v>326</v>
      </c>
      <c r="I23" s="113" t="s">
        <v>327</v>
      </c>
      <c r="J23" s="31" t="s">
        <v>328</v>
      </c>
      <c r="K23" s="19">
        <v>600</v>
      </c>
      <c r="L23" s="19">
        <v>0</v>
      </c>
      <c r="M23" s="95">
        <f t="shared" si="1"/>
        <v>-600</v>
      </c>
      <c r="N23" s="96">
        <f>M23*100/K23</f>
        <v>-100</v>
      </c>
    </row>
    <row r="24" spans="1:14" ht="12.75" customHeight="1">
      <c r="A24" s="16"/>
      <c r="B24" s="22"/>
      <c r="C24" s="9"/>
      <c r="D24" s="10"/>
      <c r="E24" s="10"/>
      <c r="F24" s="10"/>
      <c r="G24" s="114"/>
      <c r="H24" s="41" t="s">
        <v>329</v>
      </c>
      <c r="I24" s="497" t="s">
        <v>301</v>
      </c>
      <c r="J24" s="498"/>
      <c r="K24" s="10">
        <f>SUM(K26:K35)</f>
        <v>40890</v>
      </c>
      <c r="L24" s="10">
        <f>SUM(L26:L35)</f>
        <v>46000</v>
      </c>
      <c r="M24" s="90">
        <f aca="true" t="shared" si="4" ref="M24:M35">L24-K24</f>
        <v>5110</v>
      </c>
      <c r="N24" s="92">
        <f>M24*100/K24</f>
        <v>12.496943017852775</v>
      </c>
    </row>
    <row r="25" spans="1:14" ht="13.5">
      <c r="A25" s="16"/>
      <c r="B25" s="22"/>
      <c r="C25" s="18"/>
      <c r="D25" s="19"/>
      <c r="E25" s="19"/>
      <c r="F25" s="19"/>
      <c r="G25" s="94"/>
      <c r="H25" s="22"/>
      <c r="I25" s="23" t="s">
        <v>252</v>
      </c>
      <c r="J25" s="18" t="s">
        <v>305</v>
      </c>
      <c r="K25" s="19">
        <f>SUM(K26:K35)</f>
        <v>40890</v>
      </c>
      <c r="L25" s="19">
        <f>SUM(L26:L35)</f>
        <v>46000</v>
      </c>
      <c r="M25" s="95">
        <f t="shared" si="4"/>
        <v>5110</v>
      </c>
      <c r="N25" s="96">
        <f>M25*100/K25</f>
        <v>12.496943017852775</v>
      </c>
    </row>
    <row r="26" spans="1:14" ht="13.5">
      <c r="A26" s="16"/>
      <c r="B26" s="22"/>
      <c r="C26" s="18"/>
      <c r="D26" s="19"/>
      <c r="E26" s="19"/>
      <c r="F26" s="19"/>
      <c r="G26" s="94"/>
      <c r="H26" s="22"/>
      <c r="I26" s="22"/>
      <c r="J26" s="19" t="s">
        <v>330</v>
      </c>
      <c r="K26" s="19">
        <v>0</v>
      </c>
      <c r="L26" s="19">
        <v>0</v>
      </c>
      <c r="M26" s="19">
        <f t="shared" si="4"/>
        <v>0</v>
      </c>
      <c r="N26" s="100">
        <v>0</v>
      </c>
    </row>
    <row r="27" spans="1:14" ht="13.5">
      <c r="A27" s="16"/>
      <c r="B27" s="22"/>
      <c r="C27" s="18"/>
      <c r="D27" s="19"/>
      <c r="E27" s="19"/>
      <c r="F27" s="19"/>
      <c r="G27" s="19"/>
      <c r="H27" s="22"/>
      <c r="I27" s="22"/>
      <c r="J27" s="19" t="s">
        <v>331</v>
      </c>
      <c r="K27" s="19">
        <v>0</v>
      </c>
      <c r="L27" s="19">
        <v>0</v>
      </c>
      <c r="M27" s="19">
        <f t="shared" si="4"/>
        <v>0</v>
      </c>
      <c r="N27" s="100">
        <v>0</v>
      </c>
    </row>
    <row r="28" spans="1:14" ht="13.5">
      <c r="A28" s="16"/>
      <c r="B28" s="22"/>
      <c r="C28" s="19"/>
      <c r="D28" s="19"/>
      <c r="E28" s="19"/>
      <c r="F28" s="19"/>
      <c r="G28" s="19"/>
      <c r="H28" s="22"/>
      <c r="I28" s="22"/>
      <c r="J28" s="19" t="s">
        <v>332</v>
      </c>
      <c r="K28" s="19">
        <v>160</v>
      </c>
      <c r="L28" s="19">
        <v>1450</v>
      </c>
      <c r="M28" s="95">
        <f t="shared" si="4"/>
        <v>1290</v>
      </c>
      <c r="N28" s="96">
        <f>M28*100/K28</f>
        <v>806.25</v>
      </c>
    </row>
    <row r="29" spans="1:14" ht="13.5">
      <c r="A29" s="16"/>
      <c r="B29" s="22"/>
      <c r="C29" s="19"/>
      <c r="D29" s="19"/>
      <c r="E29" s="19"/>
      <c r="F29" s="19"/>
      <c r="G29" s="19"/>
      <c r="H29" s="22"/>
      <c r="I29" s="22"/>
      <c r="J29" s="31" t="s">
        <v>844</v>
      </c>
      <c r="K29" s="19">
        <v>400</v>
      </c>
      <c r="L29" s="19">
        <v>220</v>
      </c>
      <c r="M29" s="95">
        <f t="shared" si="4"/>
        <v>-180</v>
      </c>
      <c r="N29" s="96">
        <f>M29*100/K29</f>
        <v>-45</v>
      </c>
    </row>
    <row r="30" spans="1:14" ht="13.5">
      <c r="A30" s="16"/>
      <c r="B30" s="22"/>
      <c r="C30" s="19"/>
      <c r="D30" s="19"/>
      <c r="E30" s="19"/>
      <c r="F30" s="19"/>
      <c r="G30" s="19"/>
      <c r="H30" s="22"/>
      <c r="I30" s="22"/>
      <c r="J30" s="19" t="s">
        <v>333</v>
      </c>
      <c r="K30" s="19">
        <v>100</v>
      </c>
      <c r="L30" s="19">
        <v>0</v>
      </c>
      <c r="M30" s="95">
        <f t="shared" si="4"/>
        <v>-100</v>
      </c>
      <c r="N30" s="100">
        <v>0</v>
      </c>
    </row>
    <row r="31" spans="1:14" ht="13.5">
      <c r="A31" s="16"/>
      <c r="B31" s="22"/>
      <c r="C31" s="19"/>
      <c r="D31" s="19"/>
      <c r="E31" s="19"/>
      <c r="F31" s="19"/>
      <c r="G31" s="19"/>
      <c r="H31" s="22"/>
      <c r="I31" s="22"/>
      <c r="J31" s="19" t="s">
        <v>334</v>
      </c>
      <c r="K31" s="19">
        <v>100</v>
      </c>
      <c r="L31" s="19">
        <v>0</v>
      </c>
      <c r="M31" s="95">
        <f t="shared" si="4"/>
        <v>-100</v>
      </c>
      <c r="N31" s="100">
        <v>0</v>
      </c>
    </row>
    <row r="32" spans="1:14" ht="13.5">
      <c r="A32" s="16"/>
      <c r="B32" s="22"/>
      <c r="C32" s="19"/>
      <c r="D32" s="19"/>
      <c r="E32" s="19"/>
      <c r="F32" s="19"/>
      <c r="G32" s="19"/>
      <c r="H32" s="22"/>
      <c r="I32" s="22"/>
      <c r="J32" s="31" t="s">
        <v>845</v>
      </c>
      <c r="K32" s="19">
        <v>100</v>
      </c>
      <c r="L32" s="19">
        <v>570</v>
      </c>
      <c r="M32" s="19">
        <f t="shared" si="4"/>
        <v>470</v>
      </c>
      <c r="N32" s="96">
        <f>M32*100/K32</f>
        <v>470</v>
      </c>
    </row>
    <row r="33" spans="1:14" ht="13.5">
      <c r="A33" s="16"/>
      <c r="B33" s="22"/>
      <c r="C33" s="19"/>
      <c r="D33" s="19"/>
      <c r="E33" s="19"/>
      <c r="F33" s="19"/>
      <c r="G33" s="19"/>
      <c r="H33" s="22"/>
      <c r="I33" s="22"/>
      <c r="J33" s="31" t="s">
        <v>335</v>
      </c>
      <c r="K33" s="19">
        <v>39960</v>
      </c>
      <c r="L33" s="19">
        <v>43360</v>
      </c>
      <c r="M33" s="19">
        <f t="shared" si="4"/>
        <v>3400</v>
      </c>
      <c r="N33" s="96">
        <f>M33*100/K33</f>
        <v>8.508508508508509</v>
      </c>
    </row>
    <row r="34" spans="1:14" ht="13.5">
      <c r="A34" s="16"/>
      <c r="B34" s="22"/>
      <c r="C34" s="19"/>
      <c r="D34" s="19"/>
      <c r="E34" s="19"/>
      <c r="F34" s="19"/>
      <c r="G34" s="19"/>
      <c r="H34" s="22"/>
      <c r="I34" s="22"/>
      <c r="J34" s="19" t="s">
        <v>247</v>
      </c>
      <c r="K34" s="19">
        <v>0</v>
      </c>
      <c r="L34" s="19">
        <v>150</v>
      </c>
      <c r="M34" s="19">
        <f t="shared" si="4"/>
        <v>150</v>
      </c>
      <c r="N34" s="96">
        <v>0</v>
      </c>
    </row>
    <row r="35" spans="1:14" ht="13.5">
      <c r="A35" s="16"/>
      <c r="B35" s="22"/>
      <c r="C35" s="19"/>
      <c r="D35" s="19"/>
      <c r="E35" s="19"/>
      <c r="F35" s="19"/>
      <c r="G35" s="19"/>
      <c r="H35" s="9"/>
      <c r="I35" s="9"/>
      <c r="J35" s="19" t="s">
        <v>336</v>
      </c>
      <c r="K35" s="19">
        <v>70</v>
      </c>
      <c r="L35" s="19">
        <v>250</v>
      </c>
      <c r="M35" s="19">
        <f t="shared" si="4"/>
        <v>180</v>
      </c>
      <c r="N35" s="96">
        <f>M35*100/K35</f>
        <v>257.14285714285717</v>
      </c>
    </row>
    <row r="36" spans="1:14" ht="14.25" thickBot="1">
      <c r="A36" s="46"/>
      <c r="B36" s="47"/>
      <c r="C36" s="42"/>
      <c r="D36" s="42"/>
      <c r="E36" s="42"/>
      <c r="F36" s="42"/>
      <c r="G36" s="42"/>
      <c r="H36" s="42" t="s">
        <v>337</v>
      </c>
      <c r="I36" s="115" t="s">
        <v>338</v>
      </c>
      <c r="J36" s="115" t="s">
        <v>339</v>
      </c>
      <c r="K36" s="42">
        <v>0</v>
      </c>
      <c r="L36" s="42">
        <v>198</v>
      </c>
      <c r="M36" s="42">
        <f>L36-K36</f>
        <v>198</v>
      </c>
      <c r="N36" s="116">
        <v>0</v>
      </c>
    </row>
  </sheetData>
  <mergeCells count="19">
    <mergeCell ref="A1:N1"/>
    <mergeCell ref="A4:G4"/>
    <mergeCell ref="H4:N4"/>
    <mergeCell ref="A5:A6"/>
    <mergeCell ref="B5:B6"/>
    <mergeCell ref="C5:C6"/>
    <mergeCell ref="D5:D6"/>
    <mergeCell ref="E5:E6"/>
    <mergeCell ref="M5:N5"/>
    <mergeCell ref="F5:G5"/>
    <mergeCell ref="L5:L6"/>
    <mergeCell ref="A7:C7"/>
    <mergeCell ref="H7:J7"/>
    <mergeCell ref="I5:I6"/>
    <mergeCell ref="J5:J6"/>
    <mergeCell ref="I8:J8"/>
    <mergeCell ref="I24:J24"/>
    <mergeCell ref="H5:H6"/>
    <mergeCell ref="K5:K6"/>
  </mergeCell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O19" sqref="O19"/>
    </sheetView>
  </sheetViews>
  <sheetFormatPr defaultColWidth="8.88671875" defaultRowHeight="13.5"/>
  <cols>
    <col min="2" max="2" width="10.6640625" style="0" customWidth="1"/>
    <col min="3" max="3" width="11.77734375" style="0" customWidth="1"/>
    <col min="4" max="4" width="7.99609375" style="0" customWidth="1"/>
    <col min="5" max="5" width="7.6640625" style="0" customWidth="1"/>
    <col min="6" max="6" width="7.21484375" style="0" customWidth="1"/>
    <col min="7" max="7" width="7.10546875" style="0" customWidth="1"/>
    <col min="10" max="10" width="11.4453125" style="0" customWidth="1"/>
    <col min="11" max="12" width="8.10546875" style="0" customWidth="1"/>
    <col min="13" max="13" width="7.88671875" style="0" customWidth="1"/>
    <col min="14" max="14" width="7.10546875" style="0" customWidth="1"/>
  </cols>
  <sheetData>
    <row r="1" spans="1:14" ht="39" customHeight="1">
      <c r="A1" s="512" t="s">
        <v>847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4" ht="24" customHeight="1" thickBot="1">
      <c r="A2" s="2" t="s">
        <v>0</v>
      </c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2"/>
      <c r="M2" s="2" t="s">
        <v>2</v>
      </c>
      <c r="N2" s="2"/>
    </row>
    <row r="3" spans="1:14" ht="26.25" customHeight="1">
      <c r="A3" s="494" t="s">
        <v>3</v>
      </c>
      <c r="B3" s="514"/>
      <c r="C3" s="514"/>
      <c r="D3" s="514"/>
      <c r="E3" s="514"/>
      <c r="F3" s="514"/>
      <c r="G3" s="514"/>
      <c r="H3" s="514" t="s">
        <v>4</v>
      </c>
      <c r="I3" s="514"/>
      <c r="J3" s="514"/>
      <c r="K3" s="514"/>
      <c r="L3" s="514"/>
      <c r="M3" s="514"/>
      <c r="N3" s="515"/>
    </row>
    <row r="4" spans="1:14" ht="18" customHeight="1">
      <c r="A4" s="516" t="s">
        <v>5</v>
      </c>
      <c r="B4" s="523" t="s">
        <v>6</v>
      </c>
      <c r="C4" s="523" t="s">
        <v>7</v>
      </c>
      <c r="D4" s="523" t="s">
        <v>253</v>
      </c>
      <c r="E4" s="523" t="s">
        <v>254</v>
      </c>
      <c r="F4" s="523" t="s">
        <v>8</v>
      </c>
      <c r="G4" s="523"/>
      <c r="H4" s="523" t="s">
        <v>5</v>
      </c>
      <c r="I4" s="523" t="s">
        <v>6</v>
      </c>
      <c r="J4" s="523" t="s">
        <v>7</v>
      </c>
      <c r="K4" s="523" t="s">
        <v>253</v>
      </c>
      <c r="L4" s="523" t="s">
        <v>254</v>
      </c>
      <c r="M4" s="523" t="s">
        <v>8</v>
      </c>
      <c r="N4" s="525"/>
    </row>
    <row r="5" spans="1:14" ht="18" customHeight="1" thickBot="1">
      <c r="A5" s="517"/>
      <c r="B5" s="524"/>
      <c r="C5" s="524"/>
      <c r="D5" s="524"/>
      <c r="E5" s="524"/>
      <c r="F5" s="3" t="s">
        <v>9</v>
      </c>
      <c r="G5" s="3" t="s">
        <v>10</v>
      </c>
      <c r="H5" s="524"/>
      <c r="I5" s="524"/>
      <c r="J5" s="524"/>
      <c r="K5" s="524"/>
      <c r="L5" s="524"/>
      <c r="M5" s="3" t="s">
        <v>9</v>
      </c>
      <c r="N5" s="4" t="s">
        <v>10</v>
      </c>
    </row>
    <row r="6" spans="1:14" ht="33.75" customHeight="1" thickBot="1" thickTop="1">
      <c r="A6" s="509" t="s">
        <v>262</v>
      </c>
      <c r="B6" s="510"/>
      <c r="C6" s="510"/>
      <c r="D6" s="85">
        <f>D7+D10+D18+D21</f>
        <v>54654</v>
      </c>
      <c r="E6" s="85">
        <f>E7+E10+E18+E21</f>
        <v>57736</v>
      </c>
      <c r="F6" s="85">
        <f aca="true" t="shared" si="0" ref="F6:F15">E6-D6</f>
        <v>3082</v>
      </c>
      <c r="G6" s="117">
        <f aca="true" t="shared" si="1" ref="G6:G13">F6*100/D6</f>
        <v>5.6391115014454565</v>
      </c>
      <c r="H6" s="511" t="s">
        <v>340</v>
      </c>
      <c r="I6" s="511"/>
      <c r="J6" s="511"/>
      <c r="K6" s="85">
        <f>K7+K26+K31</f>
        <v>54654</v>
      </c>
      <c r="L6" s="85">
        <f>L7+L26+L31+L37+L39</f>
        <v>57736</v>
      </c>
      <c r="M6" s="85">
        <f aca="true" t="shared" si="2" ref="M6:M22">L6-K6</f>
        <v>3082</v>
      </c>
      <c r="N6" s="118">
        <f>M6*100/K6</f>
        <v>5.6391115014454565</v>
      </c>
    </row>
    <row r="7" spans="1:14" ht="25.5" customHeight="1">
      <c r="A7" s="119" t="s">
        <v>263</v>
      </c>
      <c r="B7" s="530" t="s">
        <v>11</v>
      </c>
      <c r="C7" s="530"/>
      <c r="D7" s="10">
        <f>D8</f>
        <v>15600</v>
      </c>
      <c r="E7" s="10">
        <f>E8</f>
        <v>19200</v>
      </c>
      <c r="F7" s="10">
        <f t="shared" si="0"/>
        <v>3600</v>
      </c>
      <c r="G7" s="114">
        <f t="shared" si="1"/>
        <v>23.076923076923077</v>
      </c>
      <c r="H7" s="476" t="s">
        <v>12</v>
      </c>
      <c r="I7" s="530" t="s">
        <v>11</v>
      </c>
      <c r="J7" s="530"/>
      <c r="K7" s="14">
        <f>K8+K17</f>
        <v>46107</v>
      </c>
      <c r="L7" s="14">
        <f>L8+L17</f>
        <v>47073</v>
      </c>
      <c r="M7" s="120">
        <f t="shared" si="2"/>
        <v>966</v>
      </c>
      <c r="N7" s="121">
        <f>M7*100/K7</f>
        <v>2.0951265534517534</v>
      </c>
    </row>
    <row r="8" spans="1:14" ht="22.5" customHeight="1">
      <c r="A8" s="89" t="s">
        <v>264</v>
      </c>
      <c r="B8" s="122" t="s">
        <v>341</v>
      </c>
      <c r="C8" s="18" t="s">
        <v>13</v>
      </c>
      <c r="D8" s="19">
        <v>15600</v>
      </c>
      <c r="E8" s="19">
        <v>19200</v>
      </c>
      <c r="F8" s="19">
        <f t="shared" si="0"/>
        <v>3600</v>
      </c>
      <c r="G8" s="94">
        <f t="shared" si="1"/>
        <v>23.076923076923077</v>
      </c>
      <c r="H8" s="22"/>
      <c r="I8" s="23" t="s">
        <v>14</v>
      </c>
      <c r="J8" s="18" t="s">
        <v>13</v>
      </c>
      <c r="K8" s="19">
        <f>SUM(K9:K16)</f>
        <v>38011</v>
      </c>
      <c r="L8" s="19">
        <f>SUM(L9:L16)</f>
        <v>37693</v>
      </c>
      <c r="M8" s="123">
        <f t="shared" si="2"/>
        <v>-318</v>
      </c>
      <c r="N8" s="96">
        <f>M8*100/K8</f>
        <v>-0.8365999315987477</v>
      </c>
    </row>
    <row r="9" spans="1:14" ht="21" customHeight="1">
      <c r="A9" s="30"/>
      <c r="B9" s="74"/>
      <c r="C9" s="25" t="s">
        <v>265</v>
      </c>
      <c r="D9" s="19">
        <v>15600</v>
      </c>
      <c r="E9" s="19">
        <v>19200</v>
      </c>
      <c r="F9" s="19">
        <f t="shared" si="0"/>
        <v>3600</v>
      </c>
      <c r="G9" s="94">
        <f t="shared" si="1"/>
        <v>23.076923076923077</v>
      </c>
      <c r="H9" s="22"/>
      <c r="I9" s="499"/>
      <c r="J9" s="19" t="s">
        <v>272</v>
      </c>
      <c r="K9" s="19">
        <v>17262</v>
      </c>
      <c r="L9" s="19">
        <v>17904</v>
      </c>
      <c r="M9" s="123">
        <f t="shared" si="2"/>
        <v>642</v>
      </c>
      <c r="N9" s="96">
        <f>M9*100/K9</f>
        <v>3.719151894334376</v>
      </c>
    </row>
    <row r="10" spans="1:14" ht="21" customHeight="1">
      <c r="A10" s="32" t="s">
        <v>342</v>
      </c>
      <c r="B10" s="54" t="s">
        <v>282</v>
      </c>
      <c r="C10" s="37"/>
      <c r="D10" s="19">
        <f>D11+D16</f>
        <v>36175</v>
      </c>
      <c r="E10" s="19">
        <f>E11+E14</f>
        <v>37668</v>
      </c>
      <c r="F10" s="19">
        <f t="shared" si="0"/>
        <v>1493</v>
      </c>
      <c r="G10" s="94">
        <f t="shared" si="1"/>
        <v>4.127159640635798</v>
      </c>
      <c r="H10" s="22"/>
      <c r="I10" s="500"/>
      <c r="J10" s="19" t="s">
        <v>273</v>
      </c>
      <c r="K10" s="19">
        <v>7375</v>
      </c>
      <c r="L10" s="19">
        <v>6264</v>
      </c>
      <c r="M10" s="123">
        <f t="shared" si="2"/>
        <v>-1111</v>
      </c>
      <c r="N10" s="96">
        <f>M10*100/K10</f>
        <v>-15.064406779661017</v>
      </c>
    </row>
    <row r="11" spans="1:14" ht="21" customHeight="1">
      <c r="A11" s="89" t="s">
        <v>343</v>
      </c>
      <c r="B11" s="34" t="s">
        <v>344</v>
      </c>
      <c r="C11" s="18" t="s">
        <v>284</v>
      </c>
      <c r="D11" s="19">
        <f>SUM(D12:D15)</f>
        <v>36175</v>
      </c>
      <c r="E11" s="19">
        <f>SUM(E12:E13)</f>
        <v>37668</v>
      </c>
      <c r="F11" s="19">
        <f t="shared" si="0"/>
        <v>1493</v>
      </c>
      <c r="G11" s="94">
        <f t="shared" si="1"/>
        <v>4.127159640635798</v>
      </c>
      <c r="H11" s="22"/>
      <c r="I11" s="500"/>
      <c r="J11" s="19" t="s">
        <v>345</v>
      </c>
      <c r="K11" s="19">
        <v>0</v>
      </c>
      <c r="L11" s="19">
        <v>0</v>
      </c>
      <c r="M11" s="26">
        <f t="shared" si="2"/>
        <v>0</v>
      </c>
      <c r="N11" s="100">
        <v>0</v>
      </c>
    </row>
    <row r="12" spans="1:14" ht="21" customHeight="1">
      <c r="A12" s="16"/>
      <c r="B12" s="22"/>
      <c r="C12" s="25" t="s">
        <v>346</v>
      </c>
      <c r="D12" s="19">
        <v>33075</v>
      </c>
      <c r="E12" s="19">
        <v>34068</v>
      </c>
      <c r="F12" s="19">
        <f t="shared" si="0"/>
        <v>993</v>
      </c>
      <c r="G12" s="94">
        <f t="shared" si="1"/>
        <v>3.002267573696145</v>
      </c>
      <c r="H12" s="22"/>
      <c r="I12" s="500"/>
      <c r="J12" s="19" t="s">
        <v>274</v>
      </c>
      <c r="K12" s="19">
        <v>3118</v>
      </c>
      <c r="L12" s="19">
        <v>2857</v>
      </c>
      <c r="M12" s="123">
        <f t="shared" si="2"/>
        <v>-261</v>
      </c>
      <c r="N12" s="96">
        <f aca="true" t="shared" si="3" ref="N12:N17">M12*100/K12</f>
        <v>-8.370750481077614</v>
      </c>
    </row>
    <row r="13" spans="1:14" ht="21" customHeight="1">
      <c r="A13" s="16"/>
      <c r="B13" s="9"/>
      <c r="C13" s="25" t="s">
        <v>347</v>
      </c>
      <c r="D13" s="19">
        <v>3100</v>
      </c>
      <c r="E13" s="19">
        <v>3600</v>
      </c>
      <c r="F13" s="19">
        <f t="shared" si="0"/>
        <v>500</v>
      </c>
      <c r="G13" s="94">
        <f t="shared" si="1"/>
        <v>16.129032258064516</v>
      </c>
      <c r="H13" s="22"/>
      <c r="I13" s="500"/>
      <c r="J13" s="31" t="s">
        <v>348</v>
      </c>
      <c r="K13" s="19">
        <v>2693</v>
      </c>
      <c r="L13" s="19">
        <v>2660</v>
      </c>
      <c r="M13" s="123">
        <f t="shared" si="2"/>
        <v>-33</v>
      </c>
      <c r="N13" s="96">
        <f t="shared" si="3"/>
        <v>-1.2253991830672113</v>
      </c>
    </row>
    <row r="14" spans="1:14" ht="21" customHeight="1">
      <c r="A14" s="8"/>
      <c r="B14" s="34" t="s">
        <v>349</v>
      </c>
      <c r="C14" s="18" t="s">
        <v>284</v>
      </c>
      <c r="D14" s="19">
        <f>SUM(D15:D16)</f>
        <v>0</v>
      </c>
      <c r="E14" s="19">
        <f>SUM(E15:E16)</f>
        <v>0</v>
      </c>
      <c r="F14" s="19">
        <f t="shared" si="0"/>
        <v>0</v>
      </c>
      <c r="G14" s="94">
        <v>0</v>
      </c>
      <c r="H14" s="22"/>
      <c r="I14" s="500"/>
      <c r="J14" s="31" t="s">
        <v>350</v>
      </c>
      <c r="K14" s="19">
        <v>2303</v>
      </c>
      <c r="L14" s="19">
        <v>2518</v>
      </c>
      <c r="M14" s="26">
        <f t="shared" si="2"/>
        <v>215</v>
      </c>
      <c r="N14" s="100">
        <f t="shared" si="3"/>
        <v>9.335649153278332</v>
      </c>
    </row>
    <row r="15" spans="1:14" ht="21" customHeight="1">
      <c r="A15" s="16"/>
      <c r="B15" s="22"/>
      <c r="C15" s="25" t="s">
        <v>351</v>
      </c>
      <c r="D15" s="19">
        <v>0</v>
      </c>
      <c r="E15" s="19">
        <v>0</v>
      </c>
      <c r="F15" s="19">
        <f t="shared" si="0"/>
        <v>0</v>
      </c>
      <c r="G15" s="94">
        <v>0</v>
      </c>
      <c r="H15" s="22"/>
      <c r="I15" s="500"/>
      <c r="J15" s="19" t="s">
        <v>352</v>
      </c>
      <c r="K15" s="19">
        <v>2160</v>
      </c>
      <c r="L15" s="19">
        <v>1890</v>
      </c>
      <c r="M15" s="123">
        <f t="shared" si="2"/>
        <v>-270</v>
      </c>
      <c r="N15" s="96">
        <f t="shared" si="3"/>
        <v>-12.5</v>
      </c>
    </row>
    <row r="16" spans="1:14" ht="21" customHeight="1">
      <c r="A16" s="16"/>
      <c r="B16" s="22"/>
      <c r="C16" s="25"/>
      <c r="D16" s="19"/>
      <c r="E16" s="19"/>
      <c r="F16" s="19"/>
      <c r="G16" s="94"/>
      <c r="H16" s="22"/>
      <c r="I16" s="500"/>
      <c r="J16" s="19" t="s">
        <v>353</v>
      </c>
      <c r="K16" s="19">
        <v>3100</v>
      </c>
      <c r="L16" s="19">
        <v>3600</v>
      </c>
      <c r="M16" s="26">
        <f t="shared" si="2"/>
        <v>500</v>
      </c>
      <c r="N16" s="100">
        <f t="shared" si="3"/>
        <v>16.129032258064516</v>
      </c>
    </row>
    <row r="17" spans="1:14" ht="23.25" customHeight="1">
      <c r="A17" s="30"/>
      <c r="B17" s="9"/>
      <c r="C17" s="25"/>
      <c r="D17" s="19"/>
      <c r="E17" s="19"/>
      <c r="F17" s="19"/>
      <c r="G17" s="94"/>
      <c r="H17" s="22"/>
      <c r="I17" s="23" t="s">
        <v>354</v>
      </c>
      <c r="J17" s="18" t="s">
        <v>284</v>
      </c>
      <c r="K17" s="19">
        <f>SUM(K18:K22)</f>
        <v>8096</v>
      </c>
      <c r="L17" s="19">
        <f>SUM(L18:L22)</f>
        <v>9380</v>
      </c>
      <c r="M17" s="125">
        <f t="shared" si="2"/>
        <v>1284</v>
      </c>
      <c r="N17" s="96">
        <f t="shared" si="3"/>
        <v>15.859683794466402</v>
      </c>
    </row>
    <row r="18" spans="1:14" ht="19.5" customHeight="1">
      <c r="A18" s="32" t="s">
        <v>355</v>
      </c>
      <c r="B18" s="477" t="s">
        <v>282</v>
      </c>
      <c r="C18" s="40"/>
      <c r="D18" s="19">
        <f>D19</f>
        <v>2876</v>
      </c>
      <c r="E18" s="19">
        <f>E19</f>
        <v>865</v>
      </c>
      <c r="F18" s="123">
        <f>E18-D18</f>
        <v>-2011</v>
      </c>
      <c r="G18" s="99">
        <f>F18*100/D18</f>
        <v>-69.92350486787204</v>
      </c>
      <c r="H18" s="22"/>
      <c r="I18" s="530"/>
      <c r="J18" s="19" t="s">
        <v>356</v>
      </c>
      <c r="K18" s="19">
        <v>200</v>
      </c>
      <c r="L18" s="19">
        <v>200</v>
      </c>
      <c r="M18" s="26">
        <f t="shared" si="2"/>
        <v>0</v>
      </c>
      <c r="N18" s="100">
        <v>0</v>
      </c>
    </row>
    <row r="19" spans="1:14" ht="18" customHeight="1">
      <c r="A19" s="16"/>
      <c r="B19" s="34" t="s">
        <v>357</v>
      </c>
      <c r="C19" s="18" t="s">
        <v>284</v>
      </c>
      <c r="D19" s="19">
        <f>D20</f>
        <v>2876</v>
      </c>
      <c r="E19" s="19">
        <f>E20</f>
        <v>865</v>
      </c>
      <c r="F19" s="123">
        <f>E19-D19</f>
        <v>-2011</v>
      </c>
      <c r="G19" s="99">
        <f>F19*100/D19</f>
        <v>-69.92350486787204</v>
      </c>
      <c r="H19" s="22"/>
      <c r="I19" s="522"/>
      <c r="J19" s="25" t="s">
        <v>358</v>
      </c>
      <c r="K19" s="19">
        <v>816</v>
      </c>
      <c r="L19" s="19">
        <v>1200</v>
      </c>
      <c r="M19" s="125">
        <f t="shared" si="2"/>
        <v>384</v>
      </c>
      <c r="N19" s="100">
        <v>0</v>
      </c>
    </row>
    <row r="20" spans="1:14" ht="18" customHeight="1">
      <c r="A20" s="30"/>
      <c r="B20" s="9"/>
      <c r="C20" s="25" t="s">
        <v>359</v>
      </c>
      <c r="D20" s="19">
        <v>2876</v>
      </c>
      <c r="E20" s="19">
        <v>865</v>
      </c>
      <c r="F20" s="123">
        <f>E20-D20</f>
        <v>-2011</v>
      </c>
      <c r="G20" s="99">
        <f>F20*100/D20</f>
        <v>-69.92350486787204</v>
      </c>
      <c r="H20" s="22"/>
      <c r="I20" s="522"/>
      <c r="J20" s="19" t="s">
        <v>360</v>
      </c>
      <c r="K20" s="19">
        <v>2720</v>
      </c>
      <c r="L20" s="19">
        <v>3620</v>
      </c>
      <c r="M20" s="125">
        <f t="shared" si="2"/>
        <v>900</v>
      </c>
      <c r="N20" s="100">
        <v>0</v>
      </c>
    </row>
    <row r="21" spans="1:14" ht="22.5" customHeight="1">
      <c r="A21" s="8" t="s">
        <v>361</v>
      </c>
      <c r="B21" s="477" t="s">
        <v>282</v>
      </c>
      <c r="C21" s="478"/>
      <c r="D21" s="10">
        <f>D22</f>
        <v>3</v>
      </c>
      <c r="E21" s="10">
        <f>E22</f>
        <v>3</v>
      </c>
      <c r="F21" s="10">
        <f>E21-D21</f>
        <v>0</v>
      </c>
      <c r="G21" s="114">
        <f>F21*100/D21</f>
        <v>0</v>
      </c>
      <c r="H21" s="22"/>
      <c r="I21" s="522"/>
      <c r="J21" s="19" t="s">
        <v>362</v>
      </c>
      <c r="K21" s="19">
        <v>1740</v>
      </c>
      <c r="L21" s="19">
        <v>1740</v>
      </c>
      <c r="M21" s="125">
        <f t="shared" si="2"/>
        <v>0</v>
      </c>
      <c r="N21" s="96">
        <f>M21*100/K21</f>
        <v>0</v>
      </c>
    </row>
    <row r="22" spans="1:14" ht="24" customHeight="1" thickBot="1">
      <c r="A22" s="126"/>
      <c r="B22" s="42" t="s">
        <v>363</v>
      </c>
      <c r="C22" s="115" t="s">
        <v>364</v>
      </c>
      <c r="D22" s="42">
        <v>3</v>
      </c>
      <c r="E22" s="42">
        <v>3</v>
      </c>
      <c r="F22" s="42">
        <f>E22-D22</f>
        <v>0</v>
      </c>
      <c r="G22" s="127">
        <f>F22*100/D22</f>
        <v>0</v>
      </c>
      <c r="H22" s="47"/>
      <c r="I22" s="501"/>
      <c r="J22" s="42" t="s">
        <v>365</v>
      </c>
      <c r="K22" s="42">
        <v>2620</v>
      </c>
      <c r="L22" s="42">
        <v>2620</v>
      </c>
      <c r="M22" s="129">
        <f t="shared" si="2"/>
        <v>0</v>
      </c>
      <c r="N22" s="130">
        <f>M22*100/K22</f>
        <v>0</v>
      </c>
    </row>
    <row r="23" spans="1:14" ht="30.75" customHeight="1">
      <c r="A23" s="494" t="s">
        <v>366</v>
      </c>
      <c r="B23" s="514"/>
      <c r="C23" s="514"/>
      <c r="D23" s="514"/>
      <c r="E23" s="514"/>
      <c r="F23" s="514"/>
      <c r="G23" s="514"/>
      <c r="H23" s="514" t="s">
        <v>367</v>
      </c>
      <c r="I23" s="514"/>
      <c r="J23" s="514"/>
      <c r="K23" s="514"/>
      <c r="L23" s="514"/>
      <c r="M23" s="514"/>
      <c r="N23" s="515"/>
    </row>
    <row r="24" spans="1:14" ht="24.75" customHeight="1">
      <c r="A24" s="516" t="s">
        <v>368</v>
      </c>
      <c r="B24" s="523" t="s">
        <v>369</v>
      </c>
      <c r="C24" s="523" t="s">
        <v>370</v>
      </c>
      <c r="D24" s="523" t="s">
        <v>371</v>
      </c>
      <c r="E24" s="523" t="s">
        <v>372</v>
      </c>
      <c r="F24" s="523" t="s">
        <v>373</v>
      </c>
      <c r="G24" s="523"/>
      <c r="H24" s="523" t="s">
        <v>368</v>
      </c>
      <c r="I24" s="523" t="s">
        <v>369</v>
      </c>
      <c r="J24" s="523" t="s">
        <v>370</v>
      </c>
      <c r="K24" s="523" t="s">
        <v>371</v>
      </c>
      <c r="L24" s="523" t="s">
        <v>372</v>
      </c>
      <c r="M24" s="523" t="s">
        <v>373</v>
      </c>
      <c r="N24" s="525"/>
    </row>
    <row r="25" spans="1:14" ht="24.75" customHeight="1" thickBot="1">
      <c r="A25" s="517"/>
      <c r="B25" s="524"/>
      <c r="C25" s="524"/>
      <c r="D25" s="524"/>
      <c r="E25" s="524"/>
      <c r="F25" s="3" t="s">
        <v>374</v>
      </c>
      <c r="G25" s="3" t="s">
        <v>375</v>
      </c>
      <c r="H25" s="524"/>
      <c r="I25" s="524"/>
      <c r="J25" s="524"/>
      <c r="K25" s="524"/>
      <c r="L25" s="524"/>
      <c r="M25" s="3" t="s">
        <v>374</v>
      </c>
      <c r="N25" s="4" t="s">
        <v>375</v>
      </c>
    </row>
    <row r="26" spans="1:14" ht="24.75" customHeight="1" thickTop="1">
      <c r="A26" s="57"/>
      <c r="B26" s="9"/>
      <c r="C26" s="9"/>
      <c r="D26" s="10"/>
      <c r="E26" s="10"/>
      <c r="F26" s="10"/>
      <c r="G26" s="114"/>
      <c r="H26" s="435" t="s">
        <v>376</v>
      </c>
      <c r="I26" s="530" t="s">
        <v>282</v>
      </c>
      <c r="J26" s="530"/>
      <c r="K26" s="10">
        <f>SUM(K28:K29)</f>
        <v>2367</v>
      </c>
      <c r="L26" s="10">
        <f>SUM(L28:L30)</f>
        <v>1500</v>
      </c>
      <c r="M26" s="123">
        <f aca="true" t="shared" si="4" ref="M26:M37">L26-K26</f>
        <v>-867</v>
      </c>
      <c r="N26" s="96">
        <f>M26*100/K26</f>
        <v>-36.628643852978456</v>
      </c>
    </row>
    <row r="27" spans="1:14" ht="24.75" customHeight="1">
      <c r="A27" s="55"/>
      <c r="B27" s="19"/>
      <c r="C27" s="18"/>
      <c r="D27" s="19"/>
      <c r="E27" s="19"/>
      <c r="F27" s="19"/>
      <c r="G27" s="94"/>
      <c r="H27" s="22" t="s">
        <v>377</v>
      </c>
      <c r="I27" s="23" t="s">
        <v>378</v>
      </c>
      <c r="J27" s="18" t="s">
        <v>284</v>
      </c>
      <c r="K27" s="19">
        <f>SUM(K28:K30)</f>
        <v>2367</v>
      </c>
      <c r="L27" s="19">
        <f>SUM(L28:L30)</f>
        <v>1500</v>
      </c>
      <c r="M27" s="123">
        <f t="shared" si="4"/>
        <v>-867</v>
      </c>
      <c r="N27" s="96">
        <f>M27*100/K27</f>
        <v>-36.628643852978456</v>
      </c>
    </row>
    <row r="28" spans="1:14" ht="24.75" customHeight="1">
      <c r="A28" s="124"/>
      <c r="B28" s="18"/>
      <c r="C28" s="18"/>
      <c r="D28" s="19"/>
      <c r="E28" s="19"/>
      <c r="F28" s="19"/>
      <c r="G28" s="94"/>
      <c r="H28" s="22"/>
      <c r="I28" s="28"/>
      <c r="J28" s="25" t="s">
        <v>379</v>
      </c>
      <c r="K28" s="19">
        <v>817</v>
      </c>
      <c r="L28" s="19">
        <v>0</v>
      </c>
      <c r="M28" s="123">
        <f t="shared" si="4"/>
        <v>-817</v>
      </c>
      <c r="N28" s="100">
        <v>0</v>
      </c>
    </row>
    <row r="29" spans="1:14" ht="24.75" customHeight="1">
      <c r="A29" s="124"/>
      <c r="B29" s="18"/>
      <c r="C29" s="18"/>
      <c r="D29" s="19"/>
      <c r="E29" s="19"/>
      <c r="F29" s="19"/>
      <c r="G29" s="94"/>
      <c r="H29" s="22"/>
      <c r="I29" s="28"/>
      <c r="J29" s="25" t="s">
        <v>380</v>
      </c>
      <c r="K29" s="19">
        <v>1550</v>
      </c>
      <c r="L29" s="19">
        <v>1500</v>
      </c>
      <c r="M29" s="123">
        <f t="shared" si="4"/>
        <v>-50</v>
      </c>
      <c r="N29" s="96">
        <f>M29*100/K29</f>
        <v>-3.225806451612903</v>
      </c>
    </row>
    <row r="30" spans="1:14" ht="24.75" customHeight="1">
      <c r="A30" s="124"/>
      <c r="B30" s="18"/>
      <c r="C30" s="19"/>
      <c r="D30" s="19"/>
      <c r="E30" s="19"/>
      <c r="F30" s="19"/>
      <c r="G30" s="19"/>
      <c r="H30" s="9"/>
      <c r="I30" s="74"/>
      <c r="J30" s="35" t="s">
        <v>381</v>
      </c>
      <c r="K30" s="19">
        <v>0</v>
      </c>
      <c r="L30" s="19">
        <v>0</v>
      </c>
      <c r="M30" s="18">
        <f t="shared" si="4"/>
        <v>0</v>
      </c>
      <c r="N30" s="100">
        <v>0</v>
      </c>
    </row>
    <row r="31" spans="1:14" ht="24.75" customHeight="1">
      <c r="A31" s="124"/>
      <c r="B31" s="18"/>
      <c r="C31" s="19"/>
      <c r="D31" s="19"/>
      <c r="E31" s="19"/>
      <c r="F31" s="19"/>
      <c r="G31" s="19"/>
      <c r="H31" s="34" t="s">
        <v>382</v>
      </c>
      <c r="I31" s="497" t="s">
        <v>282</v>
      </c>
      <c r="J31" s="498"/>
      <c r="K31" s="19">
        <f>SUM(K32+K35)</f>
        <v>6180</v>
      </c>
      <c r="L31" s="19">
        <f>SUM(L32+L35)</f>
        <v>7689</v>
      </c>
      <c r="M31" s="123">
        <f t="shared" si="4"/>
        <v>1509</v>
      </c>
      <c r="N31" s="96">
        <f>M31*100/K31</f>
        <v>24.41747572815534</v>
      </c>
    </row>
    <row r="32" spans="1:14" ht="24.75" customHeight="1">
      <c r="A32" s="124"/>
      <c r="B32" s="18"/>
      <c r="C32" s="19"/>
      <c r="D32" s="19"/>
      <c r="E32" s="19"/>
      <c r="F32" s="19"/>
      <c r="G32" s="19"/>
      <c r="H32" s="22"/>
      <c r="I32" s="23" t="s">
        <v>283</v>
      </c>
      <c r="J32" s="18" t="s">
        <v>284</v>
      </c>
      <c r="K32" s="19">
        <f>SUM(K33:K34)</f>
        <v>3780</v>
      </c>
      <c r="L32" s="19">
        <f>SUM(L33:L34)</f>
        <v>4320</v>
      </c>
      <c r="M32" s="123">
        <f t="shared" si="4"/>
        <v>540</v>
      </c>
      <c r="N32" s="96">
        <f>M32*100/K32</f>
        <v>14.285714285714286</v>
      </c>
    </row>
    <row r="33" spans="1:14" ht="24.75" customHeight="1">
      <c r="A33" s="124"/>
      <c r="B33" s="18"/>
      <c r="C33" s="19"/>
      <c r="D33" s="19"/>
      <c r="E33" s="19"/>
      <c r="F33" s="19"/>
      <c r="G33" s="19"/>
      <c r="H33" s="22"/>
      <c r="I33" s="28"/>
      <c r="J33" s="25" t="s">
        <v>383</v>
      </c>
      <c r="K33" s="19">
        <v>1890</v>
      </c>
      <c r="L33" s="19">
        <v>2160</v>
      </c>
      <c r="M33" s="18">
        <f>L33-K33</f>
        <v>270</v>
      </c>
      <c r="N33" s="100">
        <v>0</v>
      </c>
    </row>
    <row r="34" spans="1:14" ht="24.75" customHeight="1">
      <c r="A34" s="124"/>
      <c r="B34" s="18"/>
      <c r="C34" s="19"/>
      <c r="D34" s="19"/>
      <c r="E34" s="19"/>
      <c r="F34" s="19"/>
      <c r="G34" s="19"/>
      <c r="H34" s="22"/>
      <c r="I34" s="28"/>
      <c r="J34" s="25" t="s">
        <v>843</v>
      </c>
      <c r="K34" s="19">
        <v>1890</v>
      </c>
      <c r="L34" s="19">
        <v>2160</v>
      </c>
      <c r="M34" s="18">
        <f>L34-K34</f>
        <v>270</v>
      </c>
      <c r="N34" s="100">
        <v>0</v>
      </c>
    </row>
    <row r="35" spans="1:14" ht="24.75" customHeight="1">
      <c r="A35" s="124"/>
      <c r="B35" s="18"/>
      <c r="C35" s="19"/>
      <c r="D35" s="19"/>
      <c r="E35" s="19"/>
      <c r="F35" s="19"/>
      <c r="G35" s="19"/>
      <c r="H35" s="22"/>
      <c r="I35" s="74"/>
      <c r="J35" s="18" t="s">
        <v>584</v>
      </c>
      <c r="K35" s="19">
        <f>SUM(K36)</f>
        <v>2400</v>
      </c>
      <c r="L35" s="19">
        <f>SUM(L36)</f>
        <v>3369</v>
      </c>
      <c r="M35" s="18">
        <f t="shared" si="4"/>
        <v>969</v>
      </c>
      <c r="N35" s="100">
        <v>0</v>
      </c>
    </row>
    <row r="36" spans="1:14" ht="24.75" customHeight="1">
      <c r="A36" s="124"/>
      <c r="B36" s="18"/>
      <c r="C36" s="19"/>
      <c r="D36" s="19"/>
      <c r="E36" s="19"/>
      <c r="F36" s="19"/>
      <c r="G36" s="19"/>
      <c r="H36" s="9"/>
      <c r="I36" s="25" t="s">
        <v>384</v>
      </c>
      <c r="J36" s="25" t="s">
        <v>385</v>
      </c>
      <c r="K36" s="19">
        <v>2400</v>
      </c>
      <c r="L36" s="19">
        <v>3369</v>
      </c>
      <c r="M36" s="123">
        <f t="shared" si="4"/>
        <v>969</v>
      </c>
      <c r="N36" s="96">
        <f>M36*100/K36</f>
        <v>40.375</v>
      </c>
    </row>
    <row r="37" spans="1:14" ht="24.75" customHeight="1">
      <c r="A37" s="124"/>
      <c r="B37" s="18"/>
      <c r="C37" s="19"/>
      <c r="D37" s="19"/>
      <c r="E37" s="19"/>
      <c r="F37" s="19"/>
      <c r="G37" s="19"/>
      <c r="H37" s="34" t="s">
        <v>386</v>
      </c>
      <c r="I37" s="522" t="s">
        <v>282</v>
      </c>
      <c r="J37" s="522"/>
      <c r="K37" s="19">
        <v>0</v>
      </c>
      <c r="L37" s="19">
        <v>0</v>
      </c>
      <c r="M37" s="18">
        <f t="shared" si="4"/>
        <v>0</v>
      </c>
      <c r="N37" s="100">
        <v>0</v>
      </c>
    </row>
    <row r="38" spans="1:14" ht="24.75" customHeight="1">
      <c r="A38" s="434"/>
      <c r="B38" s="52"/>
      <c r="C38" s="34"/>
      <c r="D38" s="34"/>
      <c r="E38" s="34"/>
      <c r="F38" s="34"/>
      <c r="G38" s="34"/>
      <c r="H38" s="10"/>
      <c r="I38" s="19" t="s">
        <v>285</v>
      </c>
      <c r="J38" s="19" t="s">
        <v>286</v>
      </c>
      <c r="K38" s="19">
        <v>0</v>
      </c>
      <c r="L38" s="19">
        <v>0</v>
      </c>
      <c r="M38" s="18">
        <f>L38-K38</f>
        <v>0</v>
      </c>
      <c r="N38" s="100">
        <v>0</v>
      </c>
    </row>
    <row r="39" spans="1:14" ht="24.75" customHeight="1">
      <c r="A39" s="434"/>
      <c r="B39" s="52"/>
      <c r="C39" s="34"/>
      <c r="D39" s="34"/>
      <c r="E39" s="34"/>
      <c r="F39" s="34"/>
      <c r="G39" s="34"/>
      <c r="H39" s="34" t="s">
        <v>643</v>
      </c>
      <c r="I39" s="497" t="s">
        <v>11</v>
      </c>
      <c r="J39" s="498"/>
      <c r="K39" s="41"/>
      <c r="L39" s="19">
        <f>SUM(L40)</f>
        <v>1474</v>
      </c>
      <c r="M39" s="18">
        <f>L39-K39</f>
        <v>1474</v>
      </c>
      <c r="N39" s="96">
        <v>0</v>
      </c>
    </row>
    <row r="40" spans="1:14" ht="24.75" customHeight="1" thickBot="1">
      <c r="A40" s="131"/>
      <c r="B40" s="128"/>
      <c r="C40" s="42"/>
      <c r="D40" s="42"/>
      <c r="E40" s="42"/>
      <c r="F40" s="42"/>
      <c r="G40" s="42"/>
      <c r="H40" s="67"/>
      <c r="I40" s="42" t="s">
        <v>32</v>
      </c>
      <c r="J40" s="42" t="s">
        <v>33</v>
      </c>
      <c r="K40" s="42">
        <v>0</v>
      </c>
      <c r="L40" s="42">
        <v>1474</v>
      </c>
      <c r="M40" s="128">
        <f>L40-K40</f>
        <v>1474</v>
      </c>
      <c r="N40" s="130">
        <v>0</v>
      </c>
    </row>
  </sheetData>
  <mergeCells count="39"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I9:I16"/>
    <mergeCell ref="I18:I22"/>
    <mergeCell ref="M4:N4"/>
    <mergeCell ref="I4:I5"/>
    <mergeCell ref="J4:J5"/>
    <mergeCell ref="K4:K5"/>
    <mergeCell ref="L4:L5"/>
    <mergeCell ref="A6:C6"/>
    <mergeCell ref="H6:J6"/>
    <mergeCell ref="B7:C7"/>
    <mergeCell ref="I7:J7"/>
    <mergeCell ref="A23:G23"/>
    <mergeCell ref="H23:N23"/>
    <mergeCell ref="A24:A25"/>
    <mergeCell ref="B24:B25"/>
    <mergeCell ref="C24:C25"/>
    <mergeCell ref="D24:D25"/>
    <mergeCell ref="E24:E25"/>
    <mergeCell ref="F24:G24"/>
    <mergeCell ref="H24:H25"/>
    <mergeCell ref="I24:I25"/>
    <mergeCell ref="J24:J25"/>
    <mergeCell ref="K24:K25"/>
    <mergeCell ref="L24:L25"/>
    <mergeCell ref="M24:N24"/>
    <mergeCell ref="I39:J39"/>
    <mergeCell ref="I26:J26"/>
    <mergeCell ref="I31:J31"/>
    <mergeCell ref="I37:J37"/>
  </mergeCells>
  <printOptions/>
  <pageMargins left="0.15748031496062992" right="0.15748031496062992" top="0.5905511811023623" bottom="0.5905511811023623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8"/>
  <sheetViews>
    <sheetView workbookViewId="0" topLeftCell="A82">
      <selection activeCell="M204" sqref="M204"/>
    </sheetView>
  </sheetViews>
  <sheetFormatPr defaultColWidth="8.88671875" defaultRowHeight="13.5"/>
  <cols>
    <col min="1" max="1" width="8.10546875" style="0" customWidth="1"/>
    <col min="2" max="2" width="15.4453125" style="0" customWidth="1"/>
    <col min="3" max="3" width="13.77734375" style="0" customWidth="1"/>
    <col min="4" max="4" width="9.3359375" style="0" customWidth="1"/>
    <col min="5" max="5" width="9.88671875" style="0" customWidth="1"/>
    <col min="6" max="6" width="8.10546875" style="0" customWidth="1"/>
    <col min="7" max="7" width="6.5546875" style="0" customWidth="1"/>
    <col min="8" max="8" width="15.3359375" style="0" customWidth="1"/>
    <col min="9" max="9" width="13.77734375" style="0" customWidth="1"/>
    <col min="10" max="10" width="9.4453125" style="0" customWidth="1"/>
    <col min="11" max="11" width="12.3359375" style="0" customWidth="1"/>
  </cols>
  <sheetData>
    <row r="1" spans="1:11" ht="26.25" customHeight="1">
      <c r="A1" s="556" t="s">
        <v>230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ht="17.25" customHeight="1" thickBot="1">
      <c r="A2" s="557" t="s">
        <v>35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</row>
    <row r="3" spans="1:12" ht="14.25" customHeight="1">
      <c r="A3" s="502" t="s">
        <v>5</v>
      </c>
      <c r="B3" s="504" t="s">
        <v>6</v>
      </c>
      <c r="C3" s="504" t="s">
        <v>7</v>
      </c>
      <c r="D3" s="504" t="s">
        <v>36</v>
      </c>
      <c r="E3" s="504" t="s">
        <v>986</v>
      </c>
      <c r="F3" s="544" t="s">
        <v>38</v>
      </c>
      <c r="G3" s="545"/>
      <c r="H3" s="538" t="s">
        <v>987</v>
      </c>
      <c r="I3" s="539"/>
      <c r="J3" s="539"/>
      <c r="K3" s="540"/>
      <c r="L3" s="1"/>
    </row>
    <row r="4" spans="1:12" ht="15" customHeight="1" thickBot="1">
      <c r="A4" s="503"/>
      <c r="B4" s="505"/>
      <c r="C4" s="505"/>
      <c r="D4" s="505"/>
      <c r="E4" s="505"/>
      <c r="F4" s="234" t="s">
        <v>9</v>
      </c>
      <c r="G4" s="235" t="s">
        <v>40</v>
      </c>
      <c r="H4" s="541"/>
      <c r="I4" s="542"/>
      <c r="J4" s="542"/>
      <c r="K4" s="543"/>
      <c r="L4" s="1"/>
    </row>
    <row r="5" spans="1:12" ht="15.75" customHeight="1" thickBot="1" thickTop="1">
      <c r="A5" s="553" t="s">
        <v>855</v>
      </c>
      <c r="B5" s="554"/>
      <c r="C5" s="555"/>
      <c r="D5" s="376">
        <f>SUM(D6+D195+D200+D365+D367+D369)</f>
        <v>479032</v>
      </c>
      <c r="E5" s="376">
        <f>SUM(E6+E195+E200+E365+E367+E369)</f>
        <v>531962</v>
      </c>
      <c r="F5" s="377">
        <f>E5-D5</f>
        <v>52930</v>
      </c>
      <c r="G5" s="236">
        <f>F5*100/D5</f>
        <v>11.049366221880794</v>
      </c>
      <c r="H5" s="237"/>
      <c r="I5" s="378"/>
      <c r="J5" s="378"/>
      <c r="K5" s="379">
        <f>SUM(K6+K195+K200+K365+K367+K369)</f>
        <v>531962024.27</v>
      </c>
      <c r="L5" s="1"/>
    </row>
    <row r="6" spans="1:12" ht="12" customHeight="1">
      <c r="A6" s="238" t="s">
        <v>41</v>
      </c>
      <c r="B6" s="550" t="s">
        <v>11</v>
      </c>
      <c r="C6" s="551"/>
      <c r="D6" s="137">
        <f>SUM(D7+D82+D115+D152+D156+D183+D187)</f>
        <v>296772</v>
      </c>
      <c r="E6" s="137">
        <f>SUM(E7+E82+E115+E152+E156+E183+E187)</f>
        <v>298841</v>
      </c>
      <c r="F6" s="240">
        <f>E6-D6</f>
        <v>2069</v>
      </c>
      <c r="G6" s="241">
        <f>F6*100/D6</f>
        <v>0.6971681964605826</v>
      </c>
      <c r="H6" s="242"/>
      <c r="I6" s="243"/>
      <c r="J6" s="243"/>
      <c r="K6" s="142">
        <f>SUM(K7+K82+K115+K152+K156+K183+K187)</f>
        <v>298840523.27</v>
      </c>
      <c r="L6" s="1"/>
    </row>
    <row r="7" spans="1:12" ht="15" customHeight="1">
      <c r="A7" s="244"/>
      <c r="B7" s="232" t="s">
        <v>30</v>
      </c>
      <c r="C7" s="245" t="s">
        <v>13</v>
      </c>
      <c r="D7" s="246">
        <f>SUM(D8+D21+D47+D64+D66+D71+D77+D79)</f>
        <v>188638</v>
      </c>
      <c r="E7" s="246">
        <f>SUM(E8+E21+E47+E64+E66+E71+E77)</f>
        <v>188707</v>
      </c>
      <c r="F7" s="247">
        <f>E7-D7</f>
        <v>69</v>
      </c>
      <c r="G7" s="248">
        <f>F7*100/D7</f>
        <v>0.03657799594991465</v>
      </c>
      <c r="H7" s="249"/>
      <c r="I7" s="250"/>
      <c r="J7" s="250"/>
      <c r="K7" s="149">
        <f>SUM(K8+K21+K33+K47+K64+K66+K71+K77+K78+K79)</f>
        <v>188707224.18833333</v>
      </c>
      <c r="L7" s="1"/>
    </row>
    <row r="8" spans="1:12" ht="14.25" customHeight="1">
      <c r="A8" s="251"/>
      <c r="B8" s="252"/>
      <c r="C8" s="230" t="s">
        <v>65</v>
      </c>
      <c r="D8" s="254">
        <v>74711</v>
      </c>
      <c r="E8" s="254">
        <v>74711</v>
      </c>
      <c r="F8" s="255">
        <f>E8-D8</f>
        <v>0</v>
      </c>
      <c r="G8" s="256">
        <f>F8*100/D8</f>
        <v>0</v>
      </c>
      <c r="H8" s="362" t="s">
        <v>680</v>
      </c>
      <c r="I8" s="364"/>
      <c r="J8" s="364"/>
      <c r="K8" s="452">
        <f>SUM(K9:K20)</f>
        <v>74711000</v>
      </c>
      <c r="L8" s="1"/>
    </row>
    <row r="9" spans="1:12" ht="11.25" customHeight="1">
      <c r="A9" s="251"/>
      <c r="B9" s="252"/>
      <c r="C9" s="226"/>
      <c r="D9" s="257"/>
      <c r="E9" s="257"/>
      <c r="F9" s="257"/>
      <c r="G9" s="257"/>
      <c r="H9" s="431" t="s">
        <v>681</v>
      </c>
      <c r="I9" s="453">
        <v>1452000</v>
      </c>
      <c r="J9" s="453" t="s">
        <v>682</v>
      </c>
      <c r="K9" s="454">
        <f>SUM(I9*6)</f>
        <v>8712000</v>
      </c>
      <c r="L9" s="1"/>
    </row>
    <row r="10" spans="1:12" ht="11.25" customHeight="1">
      <c r="A10" s="251"/>
      <c r="B10" s="252"/>
      <c r="C10" s="226"/>
      <c r="D10" s="257"/>
      <c r="E10" s="257"/>
      <c r="F10" s="257"/>
      <c r="G10" s="257"/>
      <c r="H10" s="423" t="s">
        <v>683</v>
      </c>
      <c r="I10" s="455">
        <v>1477000</v>
      </c>
      <c r="J10" s="455" t="s">
        <v>682</v>
      </c>
      <c r="K10" s="456">
        <f>SUM(I10*6)</f>
        <v>8862000</v>
      </c>
      <c r="L10" s="1"/>
    </row>
    <row r="11" spans="1:12" ht="11.25" customHeight="1">
      <c r="A11" s="251"/>
      <c r="B11" s="252"/>
      <c r="C11" s="226"/>
      <c r="D11" s="257"/>
      <c r="E11" s="257"/>
      <c r="F11" s="257"/>
      <c r="G11" s="257"/>
      <c r="H11" s="423" t="s">
        <v>684</v>
      </c>
      <c r="I11" s="455">
        <v>1204000</v>
      </c>
      <c r="J11" s="455" t="s">
        <v>685</v>
      </c>
      <c r="K11" s="456">
        <f>SUM(I11*12)</f>
        <v>14448000</v>
      </c>
      <c r="L11" s="1"/>
    </row>
    <row r="12" spans="1:12" ht="11.25" customHeight="1">
      <c r="A12" s="251"/>
      <c r="B12" s="252"/>
      <c r="C12" s="226"/>
      <c r="D12" s="257"/>
      <c r="E12" s="257"/>
      <c r="F12" s="257"/>
      <c r="G12" s="257"/>
      <c r="H12" s="423" t="s">
        <v>686</v>
      </c>
      <c r="I12" s="455">
        <v>907000</v>
      </c>
      <c r="J12" s="455" t="s">
        <v>682</v>
      </c>
      <c r="K12" s="456">
        <f>SUM(I12*6)</f>
        <v>5442000</v>
      </c>
      <c r="L12" s="1"/>
    </row>
    <row r="13" spans="1:12" ht="11.25" customHeight="1">
      <c r="A13" s="251"/>
      <c r="B13" s="252"/>
      <c r="C13" s="226"/>
      <c r="D13" s="257"/>
      <c r="E13" s="257"/>
      <c r="F13" s="257"/>
      <c r="G13" s="257"/>
      <c r="H13" s="423" t="s">
        <v>687</v>
      </c>
      <c r="I13" s="455">
        <v>922000</v>
      </c>
      <c r="J13" s="455" t="s">
        <v>682</v>
      </c>
      <c r="K13" s="456">
        <f>SUM(I13*6)</f>
        <v>5532000</v>
      </c>
      <c r="L13" s="1"/>
    </row>
    <row r="14" spans="1:12" ht="11.25" customHeight="1">
      <c r="A14" s="251"/>
      <c r="B14" s="252"/>
      <c r="C14" s="226"/>
      <c r="D14" s="257"/>
      <c r="E14" s="257"/>
      <c r="F14" s="257"/>
      <c r="G14" s="257"/>
      <c r="H14" s="423" t="s">
        <v>688</v>
      </c>
      <c r="I14" s="455">
        <v>870000</v>
      </c>
      <c r="J14" s="455" t="s">
        <v>689</v>
      </c>
      <c r="K14" s="456">
        <f>SUM(I14*2)</f>
        <v>1740000</v>
      </c>
      <c r="L14" s="1"/>
    </row>
    <row r="15" spans="1:12" ht="11.25" customHeight="1">
      <c r="A15" s="251"/>
      <c r="B15" s="252"/>
      <c r="C15" s="226"/>
      <c r="D15" s="257"/>
      <c r="E15" s="257"/>
      <c r="F15" s="257"/>
      <c r="G15" s="257"/>
      <c r="H15" s="423" t="s">
        <v>690</v>
      </c>
      <c r="I15" s="455">
        <v>680000</v>
      </c>
      <c r="J15" s="455" t="s">
        <v>691</v>
      </c>
      <c r="K15" s="456">
        <f>SUM(I15*4)</f>
        <v>2720000</v>
      </c>
      <c r="L15" s="1"/>
    </row>
    <row r="16" spans="1:12" ht="11.25" customHeight="1">
      <c r="A16" s="251"/>
      <c r="B16" s="252"/>
      <c r="C16" s="226"/>
      <c r="D16" s="257"/>
      <c r="E16" s="257"/>
      <c r="F16" s="257"/>
      <c r="G16" s="257"/>
      <c r="H16" s="423" t="s">
        <v>692</v>
      </c>
      <c r="I16" s="455">
        <v>695000</v>
      </c>
      <c r="J16" s="455" t="s">
        <v>682</v>
      </c>
      <c r="K16" s="456">
        <f>SUM(I16*6)</f>
        <v>4170000</v>
      </c>
      <c r="L16" s="1"/>
    </row>
    <row r="17" spans="1:12" ht="11.25" customHeight="1">
      <c r="A17" s="251"/>
      <c r="B17" s="252"/>
      <c r="C17" s="226"/>
      <c r="D17" s="257"/>
      <c r="E17" s="257"/>
      <c r="F17" s="257"/>
      <c r="G17" s="257"/>
      <c r="H17" s="423" t="s">
        <v>693</v>
      </c>
      <c r="I17" s="455">
        <v>661000</v>
      </c>
      <c r="J17" s="455" t="s">
        <v>682</v>
      </c>
      <c r="K17" s="456">
        <f>SUM(I17*6)</f>
        <v>3966000</v>
      </c>
      <c r="L17" s="1"/>
    </row>
    <row r="18" spans="1:12" ht="11.25" customHeight="1">
      <c r="A18" s="251"/>
      <c r="B18" s="252"/>
      <c r="C18" s="226"/>
      <c r="D18" s="257"/>
      <c r="E18" s="257"/>
      <c r="F18" s="257"/>
      <c r="G18" s="257"/>
      <c r="H18" s="423" t="s">
        <v>694</v>
      </c>
      <c r="I18" s="455">
        <v>680000</v>
      </c>
      <c r="J18" s="455" t="s">
        <v>682</v>
      </c>
      <c r="K18" s="456">
        <f>SUM(I18*6)</f>
        <v>4080000</v>
      </c>
      <c r="L18" s="1"/>
    </row>
    <row r="19" spans="1:12" ht="11.25" customHeight="1">
      <c r="A19" s="251"/>
      <c r="B19" s="252"/>
      <c r="C19" s="226"/>
      <c r="D19" s="257"/>
      <c r="E19" s="257"/>
      <c r="F19" s="257"/>
      <c r="G19" s="257"/>
      <c r="H19" s="423" t="s">
        <v>852</v>
      </c>
      <c r="I19" s="455">
        <v>547000</v>
      </c>
      <c r="J19" s="455" t="s">
        <v>695</v>
      </c>
      <c r="K19" s="456">
        <f>SUM(I19*9)</f>
        <v>4923000</v>
      </c>
      <c r="L19" s="1"/>
    </row>
    <row r="20" spans="1:12" ht="11.25" customHeight="1">
      <c r="A20" s="251"/>
      <c r="B20" s="252"/>
      <c r="C20" s="259"/>
      <c r="D20" s="260"/>
      <c r="E20" s="260"/>
      <c r="F20" s="260"/>
      <c r="G20" s="260"/>
      <c r="H20" s="198" t="s">
        <v>696</v>
      </c>
      <c r="I20" s="457">
        <v>843000</v>
      </c>
      <c r="J20" s="457" t="s">
        <v>685</v>
      </c>
      <c r="K20" s="458">
        <f>SUM(I20*12)</f>
        <v>10116000</v>
      </c>
      <c r="L20" s="1"/>
    </row>
    <row r="21" spans="1:12" ht="13.5" customHeight="1">
      <c r="A21" s="251"/>
      <c r="B21" s="252"/>
      <c r="C21" s="226" t="s">
        <v>57</v>
      </c>
      <c r="D21" s="261">
        <v>35685</v>
      </c>
      <c r="E21" s="261">
        <v>35685</v>
      </c>
      <c r="F21" s="262">
        <f>E21-D21</f>
        <v>0</v>
      </c>
      <c r="G21" s="256">
        <f>F21*100/D21</f>
        <v>0</v>
      </c>
      <c r="H21" s="362" t="s">
        <v>697</v>
      </c>
      <c r="I21" s="364"/>
      <c r="J21" s="364"/>
      <c r="K21" s="452">
        <f>SUM(K22:K32)</f>
        <v>24777000</v>
      </c>
      <c r="L21" s="1"/>
    </row>
    <row r="22" spans="1:12" ht="11.25" customHeight="1">
      <c r="A22" s="251"/>
      <c r="B22" s="252"/>
      <c r="C22" s="226"/>
      <c r="D22" s="257"/>
      <c r="E22" s="257"/>
      <c r="F22" s="222"/>
      <c r="G22" s="222"/>
      <c r="H22" s="431" t="s">
        <v>681</v>
      </c>
      <c r="I22" s="453">
        <v>1452000</v>
      </c>
      <c r="J22" s="453" t="s">
        <v>698</v>
      </c>
      <c r="K22" s="454">
        <f>SUM(I22*200%)</f>
        <v>2904000</v>
      </c>
      <c r="L22" s="1"/>
    </row>
    <row r="23" spans="1:12" ht="11.25" customHeight="1">
      <c r="A23" s="251"/>
      <c r="B23" s="252"/>
      <c r="C23" s="226"/>
      <c r="D23" s="257"/>
      <c r="E23" s="257"/>
      <c r="F23" s="222"/>
      <c r="G23" s="222"/>
      <c r="H23" s="423" t="s">
        <v>683</v>
      </c>
      <c r="I23" s="455">
        <v>1477000</v>
      </c>
      <c r="J23" s="455" t="s">
        <v>698</v>
      </c>
      <c r="K23" s="456">
        <f>SUM(I23*200%)</f>
        <v>2954000</v>
      </c>
      <c r="L23" s="1"/>
    </row>
    <row r="24" spans="1:12" ht="11.25" customHeight="1">
      <c r="A24" s="251"/>
      <c r="B24" s="252"/>
      <c r="C24" s="226"/>
      <c r="D24" s="257"/>
      <c r="E24" s="257"/>
      <c r="F24" s="222"/>
      <c r="G24" s="222"/>
      <c r="H24" s="423" t="s">
        <v>684</v>
      </c>
      <c r="I24" s="455">
        <v>1204000</v>
      </c>
      <c r="J24" s="455" t="s">
        <v>699</v>
      </c>
      <c r="K24" s="456">
        <f>SUM(I24*400%)</f>
        <v>4816000</v>
      </c>
      <c r="L24" s="1"/>
    </row>
    <row r="25" spans="1:12" ht="11.25" customHeight="1">
      <c r="A25" s="251"/>
      <c r="B25" s="252"/>
      <c r="C25" s="226"/>
      <c r="D25" s="257"/>
      <c r="E25" s="257"/>
      <c r="F25" s="222"/>
      <c r="G25" s="222"/>
      <c r="H25" s="423" t="s">
        <v>686</v>
      </c>
      <c r="I25" s="455">
        <v>907000</v>
      </c>
      <c r="J25" s="455" t="s">
        <v>698</v>
      </c>
      <c r="K25" s="456">
        <f aca="true" t="shared" si="0" ref="K25:K30">SUM(I25*200%)</f>
        <v>1814000</v>
      </c>
      <c r="L25" s="1"/>
    </row>
    <row r="26" spans="1:12" ht="11.25" customHeight="1">
      <c r="A26" s="251"/>
      <c r="B26" s="252"/>
      <c r="C26" s="226"/>
      <c r="D26" s="257"/>
      <c r="E26" s="257"/>
      <c r="F26" s="222"/>
      <c r="G26" s="222"/>
      <c r="H26" s="423" t="s">
        <v>687</v>
      </c>
      <c r="I26" s="455">
        <v>922000</v>
      </c>
      <c r="J26" s="455" t="s">
        <v>698</v>
      </c>
      <c r="K26" s="456">
        <f t="shared" si="0"/>
        <v>1844000</v>
      </c>
      <c r="L26" s="1"/>
    </row>
    <row r="27" spans="1:12" ht="11.25" customHeight="1">
      <c r="A27" s="251"/>
      <c r="B27" s="252"/>
      <c r="C27" s="226"/>
      <c r="D27" s="257"/>
      <c r="E27" s="257"/>
      <c r="F27" s="222"/>
      <c r="G27" s="222"/>
      <c r="H27" s="423" t="s">
        <v>700</v>
      </c>
      <c r="I27" s="455">
        <v>680000</v>
      </c>
      <c r="J27" s="455" t="s">
        <v>698</v>
      </c>
      <c r="K27" s="456">
        <f t="shared" si="0"/>
        <v>1360000</v>
      </c>
      <c r="L27" s="1"/>
    </row>
    <row r="28" spans="1:12" ht="11.25" customHeight="1">
      <c r="A28" s="251"/>
      <c r="B28" s="252"/>
      <c r="C28" s="226"/>
      <c r="D28" s="257"/>
      <c r="E28" s="257"/>
      <c r="F28" s="222"/>
      <c r="G28" s="222"/>
      <c r="H28" s="423" t="s">
        <v>692</v>
      </c>
      <c r="I28" s="455">
        <v>695000</v>
      </c>
      <c r="J28" s="455" t="s">
        <v>698</v>
      </c>
      <c r="K28" s="456">
        <f t="shared" si="0"/>
        <v>1390000</v>
      </c>
      <c r="L28" s="1"/>
    </row>
    <row r="29" spans="1:13" ht="11.25" customHeight="1">
      <c r="A29" s="251"/>
      <c r="B29" s="252"/>
      <c r="C29" s="226"/>
      <c r="D29" s="257"/>
      <c r="E29" s="257"/>
      <c r="F29" s="222"/>
      <c r="G29" s="222"/>
      <c r="H29" s="423" t="s">
        <v>701</v>
      </c>
      <c r="I29" s="455">
        <v>661000</v>
      </c>
      <c r="J29" s="455" t="s">
        <v>698</v>
      </c>
      <c r="K29" s="456">
        <f t="shared" si="0"/>
        <v>1322000</v>
      </c>
      <c r="L29" s="1"/>
      <c r="M29" s="1"/>
    </row>
    <row r="30" spans="1:13" ht="11.25" customHeight="1">
      <c r="A30" s="251"/>
      <c r="B30" s="252"/>
      <c r="C30" s="226"/>
      <c r="D30" s="257"/>
      <c r="E30" s="257"/>
      <c r="F30" s="222"/>
      <c r="G30" s="222"/>
      <c r="H30" s="423" t="s">
        <v>694</v>
      </c>
      <c r="I30" s="455">
        <v>680000</v>
      </c>
      <c r="J30" s="455" t="s">
        <v>698</v>
      </c>
      <c r="K30" s="456">
        <f t="shared" si="0"/>
        <v>1360000</v>
      </c>
      <c r="L30" s="1"/>
      <c r="M30" s="1"/>
    </row>
    <row r="31" spans="1:13" ht="11.25" customHeight="1">
      <c r="A31" s="251"/>
      <c r="B31" s="252"/>
      <c r="C31" s="226"/>
      <c r="D31" s="257"/>
      <c r="E31" s="257"/>
      <c r="F31" s="222"/>
      <c r="G31" s="222"/>
      <c r="H31" s="423" t="s">
        <v>853</v>
      </c>
      <c r="I31" s="455">
        <v>547000</v>
      </c>
      <c r="J31" s="455" t="s">
        <v>702</v>
      </c>
      <c r="K31" s="456">
        <f>SUM(I31*300%)</f>
        <v>1641000</v>
      </c>
      <c r="L31" s="1"/>
      <c r="M31" s="1"/>
    </row>
    <row r="32" spans="1:12" ht="11.25" customHeight="1">
      <c r="A32" s="251"/>
      <c r="B32" s="252"/>
      <c r="C32" s="226"/>
      <c r="D32" s="257"/>
      <c r="E32" s="257"/>
      <c r="F32" s="222"/>
      <c r="G32" s="222"/>
      <c r="H32" s="198" t="s">
        <v>703</v>
      </c>
      <c r="I32" s="457">
        <v>843000</v>
      </c>
      <c r="J32" s="457" t="s">
        <v>699</v>
      </c>
      <c r="K32" s="458">
        <f>SUM(I32*400%)</f>
        <v>3372000</v>
      </c>
      <c r="L32" s="1"/>
    </row>
    <row r="33" spans="1:12" ht="11.25" customHeight="1">
      <c r="A33" s="251"/>
      <c r="B33" s="252"/>
      <c r="C33" s="226"/>
      <c r="D33" s="257"/>
      <c r="E33" s="257"/>
      <c r="F33" s="222"/>
      <c r="G33" s="222"/>
      <c r="H33" s="362" t="s">
        <v>704</v>
      </c>
      <c r="I33" s="364"/>
      <c r="J33" s="364"/>
      <c r="K33" s="452">
        <f>SUM(K34:K44)</f>
        <v>10908000</v>
      </c>
      <c r="L33" s="1"/>
    </row>
    <row r="34" spans="1:12" ht="11.25" customHeight="1">
      <c r="A34" s="251"/>
      <c r="B34" s="252"/>
      <c r="C34" s="226"/>
      <c r="D34" s="257"/>
      <c r="E34" s="257"/>
      <c r="F34" s="222"/>
      <c r="G34" s="222"/>
      <c r="H34" s="431" t="s">
        <v>681</v>
      </c>
      <c r="I34" s="453">
        <v>1452000</v>
      </c>
      <c r="J34" s="453" t="s">
        <v>705</v>
      </c>
      <c r="K34" s="454">
        <f>SUM(I34*100%)</f>
        <v>1452000</v>
      </c>
      <c r="L34" s="1"/>
    </row>
    <row r="35" spans="1:12" ht="11.25" customHeight="1">
      <c r="A35" s="251"/>
      <c r="B35" s="252"/>
      <c r="C35" s="226"/>
      <c r="D35" s="257"/>
      <c r="E35" s="257"/>
      <c r="F35" s="222"/>
      <c r="G35" s="222"/>
      <c r="H35" s="423" t="s">
        <v>683</v>
      </c>
      <c r="I35" s="455">
        <v>1477000</v>
      </c>
      <c r="J35" s="455" t="s">
        <v>705</v>
      </c>
      <c r="K35" s="456">
        <f>SUM(I35*100%)</f>
        <v>1477000</v>
      </c>
      <c r="L35" s="1"/>
    </row>
    <row r="36" spans="1:12" ht="11.25" customHeight="1">
      <c r="A36" s="251"/>
      <c r="B36" s="252"/>
      <c r="C36" s="226"/>
      <c r="D36" s="257"/>
      <c r="E36" s="257"/>
      <c r="F36" s="222"/>
      <c r="G36" s="222"/>
      <c r="H36" s="423" t="s">
        <v>684</v>
      </c>
      <c r="I36" s="455">
        <v>1204000</v>
      </c>
      <c r="J36" s="455" t="s">
        <v>706</v>
      </c>
      <c r="K36" s="456">
        <f>SUM(I36*100%*2)</f>
        <v>2408000</v>
      </c>
      <c r="L36" s="1"/>
    </row>
    <row r="37" spans="1:12" ht="11.25" customHeight="1">
      <c r="A37" s="251"/>
      <c r="B37" s="252"/>
      <c r="C37" s="226"/>
      <c r="D37" s="257"/>
      <c r="E37" s="257"/>
      <c r="F37" s="222"/>
      <c r="G37" s="222"/>
      <c r="H37" s="423" t="s">
        <v>686</v>
      </c>
      <c r="I37" s="455">
        <v>907000</v>
      </c>
      <c r="J37" s="455" t="s">
        <v>707</v>
      </c>
      <c r="K37" s="456">
        <f>SUM(I37*90%)</f>
        <v>816300</v>
      </c>
      <c r="L37" s="1"/>
    </row>
    <row r="38" spans="1:12" ht="11.25" customHeight="1">
      <c r="A38" s="251"/>
      <c r="B38" s="252"/>
      <c r="C38" s="226"/>
      <c r="D38" s="257"/>
      <c r="E38" s="257"/>
      <c r="F38" s="222"/>
      <c r="G38" s="222"/>
      <c r="H38" s="423" t="s">
        <v>687</v>
      </c>
      <c r="I38" s="455">
        <v>922000</v>
      </c>
      <c r="J38" s="455" t="s">
        <v>708</v>
      </c>
      <c r="K38" s="456">
        <f>SUM(I38*95%)</f>
        <v>875900</v>
      </c>
      <c r="L38" s="1"/>
    </row>
    <row r="39" spans="1:12" ht="11.25" customHeight="1">
      <c r="A39" s="251"/>
      <c r="B39" s="252"/>
      <c r="C39" s="226"/>
      <c r="D39" s="257"/>
      <c r="E39" s="257"/>
      <c r="F39" s="222"/>
      <c r="G39" s="222"/>
      <c r="H39" s="423" t="s">
        <v>688</v>
      </c>
      <c r="I39" s="455">
        <v>870000</v>
      </c>
      <c r="J39" s="455" t="s">
        <v>709</v>
      </c>
      <c r="K39" s="456">
        <f>SUM(I39*80%)</f>
        <v>696000</v>
      </c>
      <c r="L39" s="1"/>
    </row>
    <row r="40" spans="1:12" ht="11.25" customHeight="1">
      <c r="A40" s="251"/>
      <c r="B40" s="252"/>
      <c r="C40" s="226"/>
      <c r="D40" s="257"/>
      <c r="E40" s="257"/>
      <c r="F40" s="222"/>
      <c r="G40" s="222"/>
      <c r="H40" s="423" t="s">
        <v>710</v>
      </c>
      <c r="I40" s="455">
        <v>695000</v>
      </c>
      <c r="J40" s="455" t="s">
        <v>711</v>
      </c>
      <c r="K40" s="456">
        <f>SUM(I40*65%)</f>
        <v>451750</v>
      </c>
      <c r="L40" s="1"/>
    </row>
    <row r="41" spans="1:11" ht="11.25" customHeight="1">
      <c r="A41" s="251"/>
      <c r="B41" s="252"/>
      <c r="C41" s="226"/>
      <c r="D41" s="257"/>
      <c r="E41" s="257"/>
      <c r="F41" s="222"/>
      <c r="G41" s="222"/>
      <c r="H41" s="423" t="s">
        <v>693</v>
      </c>
      <c r="I41" s="455">
        <v>661000</v>
      </c>
      <c r="J41" s="455" t="s">
        <v>712</v>
      </c>
      <c r="K41" s="456">
        <f>SUM(I41*55%)</f>
        <v>363550.00000000006</v>
      </c>
    </row>
    <row r="42" spans="1:11" ht="11.25" customHeight="1">
      <c r="A42" s="251"/>
      <c r="B42" s="252"/>
      <c r="C42" s="226"/>
      <c r="D42" s="257"/>
      <c r="E42" s="257"/>
      <c r="F42" s="222"/>
      <c r="G42" s="222"/>
      <c r="H42" s="423" t="s">
        <v>694</v>
      </c>
      <c r="I42" s="455">
        <v>680000</v>
      </c>
      <c r="J42" s="455" t="s">
        <v>713</v>
      </c>
      <c r="K42" s="456">
        <f>SUM(I42*60%)</f>
        <v>408000</v>
      </c>
    </row>
    <row r="43" spans="1:11" ht="11.25" customHeight="1">
      <c r="A43" s="251"/>
      <c r="B43" s="252"/>
      <c r="C43" s="226"/>
      <c r="D43" s="257"/>
      <c r="E43" s="257"/>
      <c r="F43" s="222"/>
      <c r="G43" s="224"/>
      <c r="H43" s="423" t="s">
        <v>714</v>
      </c>
      <c r="I43" s="455">
        <v>547000</v>
      </c>
      <c r="J43" s="455" t="s">
        <v>715</v>
      </c>
      <c r="K43" s="456">
        <f>SUM(I43*50%*1)</f>
        <v>273500</v>
      </c>
    </row>
    <row r="44" spans="1:11" ht="11.25" customHeight="1" thickBot="1">
      <c r="A44" s="264"/>
      <c r="B44" s="265"/>
      <c r="C44" s="229"/>
      <c r="D44" s="266"/>
      <c r="E44" s="266"/>
      <c r="F44" s="267"/>
      <c r="G44" s="268"/>
      <c r="H44" s="418" t="s">
        <v>696</v>
      </c>
      <c r="I44" s="459">
        <v>843000</v>
      </c>
      <c r="J44" s="459" t="s">
        <v>706</v>
      </c>
      <c r="K44" s="460">
        <f>SUM(I44*100%*2)</f>
        <v>1686000</v>
      </c>
    </row>
    <row r="45" spans="1:11" ht="15.75" customHeight="1">
      <c r="A45" s="502" t="s">
        <v>5</v>
      </c>
      <c r="B45" s="504" t="s">
        <v>6</v>
      </c>
      <c r="C45" s="504" t="s">
        <v>7</v>
      </c>
      <c r="D45" s="504" t="s">
        <v>36</v>
      </c>
      <c r="E45" s="504" t="s">
        <v>986</v>
      </c>
      <c r="F45" s="544" t="s">
        <v>38</v>
      </c>
      <c r="G45" s="545"/>
      <c r="H45" s="538" t="s">
        <v>987</v>
      </c>
      <c r="I45" s="539"/>
      <c r="J45" s="539"/>
      <c r="K45" s="540"/>
    </row>
    <row r="46" spans="1:11" ht="15.75" customHeight="1" thickBot="1">
      <c r="A46" s="503"/>
      <c r="B46" s="505"/>
      <c r="C46" s="505"/>
      <c r="D46" s="505"/>
      <c r="E46" s="505"/>
      <c r="F46" s="269" t="s">
        <v>9</v>
      </c>
      <c r="G46" s="235" t="s">
        <v>40</v>
      </c>
      <c r="H46" s="541"/>
      <c r="I46" s="542"/>
      <c r="J46" s="542"/>
      <c r="K46" s="543"/>
    </row>
    <row r="47" spans="1:11" ht="15.75" customHeight="1" thickTop="1">
      <c r="A47" s="270" t="s">
        <v>41</v>
      </c>
      <c r="B47" s="233" t="s">
        <v>30</v>
      </c>
      <c r="C47" s="230" t="s">
        <v>58</v>
      </c>
      <c r="D47" s="271">
        <v>37591</v>
      </c>
      <c r="E47" s="271">
        <v>37591</v>
      </c>
      <c r="F47" s="272">
        <f>E47-D47</f>
        <v>0</v>
      </c>
      <c r="G47" s="256">
        <f>F47*100/D47</f>
        <v>0</v>
      </c>
      <c r="H47" s="365" t="s">
        <v>47</v>
      </c>
      <c r="I47" s="273"/>
      <c r="J47" s="274"/>
      <c r="K47" s="149">
        <f>SUM(K48:K63)</f>
        <v>37590950</v>
      </c>
    </row>
    <row r="48" spans="1:11" ht="15.75" customHeight="1">
      <c r="A48" s="251"/>
      <c r="B48" s="252"/>
      <c r="C48" s="226"/>
      <c r="D48" s="257"/>
      <c r="E48" s="257"/>
      <c r="F48" s="257"/>
      <c r="G48" s="257"/>
      <c r="H48" s="374" t="s">
        <v>388</v>
      </c>
      <c r="I48" s="375">
        <v>74711000</v>
      </c>
      <c r="J48" s="375" t="s">
        <v>48</v>
      </c>
      <c r="K48" s="341">
        <f>SUM(I48*20%)</f>
        <v>14942200</v>
      </c>
    </row>
    <row r="49" spans="1:11" ht="15.75" customHeight="1">
      <c r="A49" s="251"/>
      <c r="B49" s="252"/>
      <c r="C49" s="226"/>
      <c r="D49" s="257"/>
      <c r="E49" s="257"/>
      <c r="F49" s="257"/>
      <c r="G49" s="257"/>
      <c r="H49" s="366" t="s">
        <v>389</v>
      </c>
      <c r="I49" s="274">
        <v>20000</v>
      </c>
      <c r="J49" s="274" t="s">
        <v>492</v>
      </c>
      <c r="K49" s="279">
        <f>SUM(I49*12*7)</f>
        <v>1680000</v>
      </c>
    </row>
    <row r="50" spans="1:11" ht="15.75" customHeight="1">
      <c r="A50" s="251"/>
      <c r="B50" s="252"/>
      <c r="C50" s="226"/>
      <c r="D50" s="257"/>
      <c r="E50" s="257"/>
      <c r="F50" s="257"/>
      <c r="G50" s="257"/>
      <c r="H50" s="366" t="s">
        <v>389</v>
      </c>
      <c r="I50" s="274">
        <v>20000</v>
      </c>
      <c r="J50" s="274" t="s">
        <v>678</v>
      </c>
      <c r="K50" s="279">
        <f>SUM(I50*9*1)</f>
        <v>180000</v>
      </c>
    </row>
    <row r="51" spans="1:11" ht="15.75" customHeight="1">
      <c r="A51" s="251"/>
      <c r="B51" s="252"/>
      <c r="C51" s="226"/>
      <c r="D51" s="257"/>
      <c r="E51" s="257"/>
      <c r="F51" s="257"/>
      <c r="G51" s="257"/>
      <c r="H51" s="366" t="s">
        <v>390</v>
      </c>
      <c r="I51" s="274">
        <v>5937000</v>
      </c>
      <c r="J51" s="274" t="s">
        <v>50</v>
      </c>
      <c r="K51" s="279">
        <f>SUM(I51*50%)</f>
        <v>2968500</v>
      </c>
    </row>
    <row r="52" spans="1:11" ht="15.75" customHeight="1">
      <c r="A52" s="251"/>
      <c r="B52" s="252"/>
      <c r="C52" s="226"/>
      <c r="D52" s="257"/>
      <c r="E52" s="257"/>
      <c r="F52" s="257"/>
      <c r="G52" s="257"/>
      <c r="H52" s="366" t="s">
        <v>390</v>
      </c>
      <c r="I52" s="274">
        <v>6368000</v>
      </c>
      <c r="J52" s="274" t="s">
        <v>50</v>
      </c>
      <c r="K52" s="279">
        <f>SUM(I52*50%)</f>
        <v>3184000</v>
      </c>
    </row>
    <row r="53" spans="1:11" ht="15.75" customHeight="1">
      <c r="A53" s="251"/>
      <c r="B53" s="252"/>
      <c r="C53" s="226"/>
      <c r="D53" s="257"/>
      <c r="E53" s="257"/>
      <c r="F53" s="257"/>
      <c r="G53" s="257"/>
      <c r="H53" s="366" t="s">
        <v>391</v>
      </c>
      <c r="I53" s="274">
        <v>5937000</v>
      </c>
      <c r="J53" s="274" t="s">
        <v>51</v>
      </c>
      <c r="K53" s="279">
        <f>SUM(I53*25%)</f>
        <v>1484250</v>
      </c>
    </row>
    <row r="54" spans="1:11" ht="15.75" customHeight="1">
      <c r="A54" s="251"/>
      <c r="B54" s="252"/>
      <c r="C54" s="226"/>
      <c r="D54" s="257"/>
      <c r="E54" s="257"/>
      <c r="F54" s="257"/>
      <c r="G54" s="257"/>
      <c r="H54" s="366" t="s">
        <v>391</v>
      </c>
      <c r="I54" s="274">
        <v>6368000</v>
      </c>
      <c r="J54" s="274" t="s">
        <v>51</v>
      </c>
      <c r="K54" s="279">
        <f>SUM(I54*25%)</f>
        <v>1592000</v>
      </c>
    </row>
    <row r="55" spans="1:11" ht="15.75" customHeight="1">
      <c r="A55" s="251"/>
      <c r="B55" s="252"/>
      <c r="C55" s="226"/>
      <c r="D55" s="257"/>
      <c r="E55" s="257"/>
      <c r="F55" s="257"/>
      <c r="G55" s="257"/>
      <c r="H55" s="366" t="s">
        <v>52</v>
      </c>
      <c r="I55" s="274">
        <v>15000</v>
      </c>
      <c r="J55" s="274" t="s">
        <v>54</v>
      </c>
      <c r="K55" s="279">
        <f>SUM(I55*12*12)</f>
        <v>2160000</v>
      </c>
    </row>
    <row r="56" spans="1:11" ht="15.75" customHeight="1">
      <c r="A56" s="251"/>
      <c r="B56" s="252"/>
      <c r="C56" s="226"/>
      <c r="D56" s="257"/>
      <c r="E56" s="257"/>
      <c r="F56" s="257"/>
      <c r="G56" s="257"/>
      <c r="H56" s="366" t="s">
        <v>53</v>
      </c>
      <c r="I56" s="274">
        <v>50000</v>
      </c>
      <c r="J56" s="274" t="s">
        <v>674</v>
      </c>
      <c r="K56" s="279">
        <f>SUM(I56*2*2)</f>
        <v>200000</v>
      </c>
    </row>
    <row r="57" spans="1:11" ht="15.75" customHeight="1">
      <c r="A57" s="251"/>
      <c r="B57" s="252"/>
      <c r="C57" s="226"/>
      <c r="D57" s="257"/>
      <c r="E57" s="257"/>
      <c r="F57" s="257"/>
      <c r="G57" s="257"/>
      <c r="H57" s="366" t="s">
        <v>53</v>
      </c>
      <c r="I57" s="274">
        <v>50000</v>
      </c>
      <c r="J57" s="274" t="s">
        <v>676</v>
      </c>
      <c r="K57" s="279">
        <f>SUM(I57*1*10)</f>
        <v>500000</v>
      </c>
    </row>
    <row r="58" spans="1:11" ht="15.75" customHeight="1">
      <c r="A58" s="251"/>
      <c r="B58" s="252"/>
      <c r="C58" s="226"/>
      <c r="D58" s="257"/>
      <c r="E58" s="257"/>
      <c r="F58" s="222"/>
      <c r="G58" s="222"/>
      <c r="H58" s="366" t="s">
        <v>53</v>
      </c>
      <c r="I58" s="274">
        <v>70000</v>
      </c>
      <c r="J58" s="274" t="s">
        <v>55</v>
      </c>
      <c r="K58" s="279">
        <f>SUM(I58*2*12)</f>
        <v>1680000</v>
      </c>
    </row>
    <row r="59" spans="1:11" ht="15.75" customHeight="1">
      <c r="A59" s="251"/>
      <c r="B59" s="252"/>
      <c r="C59" s="226"/>
      <c r="D59" s="257"/>
      <c r="E59" s="257"/>
      <c r="F59" s="222"/>
      <c r="G59" s="222"/>
      <c r="H59" s="366" t="s">
        <v>53</v>
      </c>
      <c r="I59" s="274">
        <v>100000</v>
      </c>
      <c r="J59" s="274" t="s">
        <v>56</v>
      </c>
      <c r="K59" s="279">
        <f>SUM(I59*1*12)</f>
        <v>1200000</v>
      </c>
    </row>
    <row r="60" spans="1:11" ht="15.75" customHeight="1">
      <c r="A60" s="251"/>
      <c r="B60" s="252"/>
      <c r="C60" s="226"/>
      <c r="D60" s="257"/>
      <c r="E60" s="257"/>
      <c r="F60" s="222"/>
      <c r="G60" s="222"/>
      <c r="H60" s="366" t="s">
        <v>392</v>
      </c>
      <c r="I60" s="274">
        <v>350000</v>
      </c>
      <c r="J60" s="274" t="s">
        <v>56</v>
      </c>
      <c r="K60" s="279">
        <f>SUM(I60*1*12)</f>
        <v>4200000</v>
      </c>
    </row>
    <row r="61" spans="1:11" ht="15.75" customHeight="1">
      <c r="A61" s="251"/>
      <c r="B61" s="252"/>
      <c r="C61" s="226"/>
      <c r="D61" s="257"/>
      <c r="E61" s="257"/>
      <c r="F61" s="222"/>
      <c r="G61" s="222"/>
      <c r="H61" s="366" t="s">
        <v>392</v>
      </c>
      <c r="I61" s="274">
        <v>100000</v>
      </c>
      <c r="J61" s="274" t="s">
        <v>56</v>
      </c>
      <c r="K61" s="279">
        <f>SUM(I61*1*12)</f>
        <v>1200000</v>
      </c>
    </row>
    <row r="62" spans="1:11" ht="15.75" customHeight="1">
      <c r="A62" s="251"/>
      <c r="B62" s="252"/>
      <c r="C62" s="343"/>
      <c r="D62" s="257"/>
      <c r="E62" s="257"/>
      <c r="F62" s="222"/>
      <c r="G62" s="222"/>
      <c r="H62" s="366" t="s">
        <v>392</v>
      </c>
      <c r="I62" s="274">
        <v>30000</v>
      </c>
      <c r="J62" s="274" t="s">
        <v>674</v>
      </c>
      <c r="K62" s="279">
        <f>SUM(I62*2*2)</f>
        <v>120000</v>
      </c>
    </row>
    <row r="63" spans="1:11" ht="15.75" customHeight="1">
      <c r="A63" s="251"/>
      <c r="B63" s="252"/>
      <c r="C63" s="275"/>
      <c r="D63" s="260"/>
      <c r="E63" s="260"/>
      <c r="F63" s="276"/>
      <c r="G63" s="276"/>
      <c r="H63" s="212" t="s">
        <v>392</v>
      </c>
      <c r="I63" s="136">
        <v>30000</v>
      </c>
      <c r="J63" s="136" t="s">
        <v>676</v>
      </c>
      <c r="K63" s="142">
        <f>SUM(I63*1*10)</f>
        <v>300000</v>
      </c>
    </row>
    <row r="64" spans="1:11" ht="15.75" customHeight="1">
      <c r="A64" s="251"/>
      <c r="B64" s="252"/>
      <c r="C64" s="230" t="s">
        <v>66</v>
      </c>
      <c r="D64" s="257">
        <v>12467</v>
      </c>
      <c r="E64" s="257">
        <v>12467</v>
      </c>
      <c r="F64" s="277">
        <f>E64-D64</f>
        <v>0</v>
      </c>
      <c r="G64" s="278">
        <f>F64*100/D64</f>
        <v>0</v>
      </c>
      <c r="H64" s="366" t="s">
        <v>61</v>
      </c>
      <c r="I64" s="274">
        <v>149606950</v>
      </c>
      <c r="J64" s="274" t="s">
        <v>59</v>
      </c>
      <c r="K64" s="279">
        <f>SUM(I64*1/12)</f>
        <v>12467245.833333334</v>
      </c>
    </row>
    <row r="65" spans="1:11" ht="15.75" customHeight="1">
      <c r="A65" s="251"/>
      <c r="B65" s="252"/>
      <c r="C65" s="259" t="s">
        <v>67</v>
      </c>
      <c r="D65" s="260"/>
      <c r="E65" s="260"/>
      <c r="F65" s="276"/>
      <c r="G65" s="276"/>
      <c r="H65" s="212"/>
      <c r="I65" s="136"/>
      <c r="J65" s="136"/>
      <c r="K65" s="142"/>
    </row>
    <row r="66" spans="1:11" ht="15.75" customHeight="1">
      <c r="A66" s="251"/>
      <c r="B66" s="252"/>
      <c r="C66" s="226" t="s">
        <v>68</v>
      </c>
      <c r="D66" s="257">
        <v>11804</v>
      </c>
      <c r="E66" s="257">
        <v>11804</v>
      </c>
      <c r="F66" s="277">
        <f>E66-D66</f>
        <v>0</v>
      </c>
      <c r="G66" s="278">
        <f>F66*100/D66</f>
        <v>0</v>
      </c>
      <c r="H66" s="263" t="s">
        <v>62</v>
      </c>
      <c r="I66" s="211"/>
      <c r="J66" s="211"/>
      <c r="K66" s="149">
        <f>SUM(K67+K68+K69+K70)</f>
        <v>11803988.355</v>
      </c>
    </row>
    <row r="67" spans="1:11" ht="15.75" customHeight="1">
      <c r="A67" s="251"/>
      <c r="B67" s="252"/>
      <c r="C67" s="226"/>
      <c r="D67" s="257"/>
      <c r="E67" s="257"/>
      <c r="F67" s="222"/>
      <c r="G67" s="222"/>
      <c r="H67" s="374" t="s">
        <v>60</v>
      </c>
      <c r="I67" s="274">
        <v>149606950</v>
      </c>
      <c r="J67" s="375" t="s">
        <v>660</v>
      </c>
      <c r="K67" s="341">
        <f>SUM(I67*2.24%)</f>
        <v>3351195.6800000006</v>
      </c>
    </row>
    <row r="68" spans="1:11" ht="15.75" customHeight="1">
      <c r="A68" s="251"/>
      <c r="B68" s="252"/>
      <c r="C68" s="226"/>
      <c r="D68" s="257"/>
      <c r="E68" s="257"/>
      <c r="F68" s="222"/>
      <c r="G68" s="222"/>
      <c r="H68" s="366" t="s">
        <v>393</v>
      </c>
      <c r="I68" s="274">
        <v>149606950</v>
      </c>
      <c r="J68" s="274" t="s">
        <v>217</v>
      </c>
      <c r="K68" s="279">
        <f>SUM(I68*4.5%)</f>
        <v>6732312.75</v>
      </c>
    </row>
    <row r="69" spans="1:11" ht="15.75" customHeight="1">
      <c r="A69" s="251"/>
      <c r="B69" s="252"/>
      <c r="C69" s="226"/>
      <c r="D69" s="257"/>
      <c r="E69" s="257"/>
      <c r="F69" s="222"/>
      <c r="G69" s="222"/>
      <c r="H69" s="366" t="s">
        <v>394</v>
      </c>
      <c r="I69" s="274">
        <v>149606950</v>
      </c>
      <c r="J69" s="274" t="s">
        <v>532</v>
      </c>
      <c r="K69" s="279">
        <f>SUM(I69*0.7%)</f>
        <v>1047248.6499999999</v>
      </c>
    </row>
    <row r="70" spans="1:11" ht="15.75" customHeight="1">
      <c r="A70" s="251"/>
      <c r="B70" s="252"/>
      <c r="C70" s="259"/>
      <c r="D70" s="260"/>
      <c r="E70" s="260"/>
      <c r="F70" s="276"/>
      <c r="G70" s="276"/>
      <c r="H70" s="212" t="s">
        <v>213</v>
      </c>
      <c r="I70" s="274">
        <v>149606950</v>
      </c>
      <c r="J70" s="136" t="s">
        <v>664</v>
      </c>
      <c r="K70" s="142">
        <f>SUM(I70*0.45%)</f>
        <v>673231.275</v>
      </c>
    </row>
    <row r="71" spans="1:11" ht="15.75" customHeight="1">
      <c r="A71" s="251"/>
      <c r="B71" s="252"/>
      <c r="C71" s="226" t="s">
        <v>69</v>
      </c>
      <c r="D71" s="257">
        <v>8280</v>
      </c>
      <c r="E71" s="257">
        <v>8280</v>
      </c>
      <c r="F71" s="277">
        <f>E71-D71</f>
        <v>0</v>
      </c>
      <c r="G71" s="278">
        <f>F71*100/D71</f>
        <v>0</v>
      </c>
      <c r="H71" s="263" t="s">
        <v>395</v>
      </c>
      <c r="I71" s="211"/>
      <c r="J71" s="211"/>
      <c r="K71" s="149">
        <f>SUM(K72:K76)</f>
        <v>8280000</v>
      </c>
    </row>
    <row r="72" spans="1:11" ht="15.75" customHeight="1">
      <c r="A72" s="251"/>
      <c r="B72" s="252"/>
      <c r="C72" s="226"/>
      <c r="D72" s="257"/>
      <c r="E72" s="257"/>
      <c r="F72" s="277"/>
      <c r="G72" s="278"/>
      <c r="H72" s="374" t="s">
        <v>396</v>
      </c>
      <c r="I72" s="375">
        <v>50000</v>
      </c>
      <c r="J72" s="375" t="s">
        <v>679</v>
      </c>
      <c r="K72" s="341">
        <f>SUM(I72*6*12)</f>
        <v>3600000</v>
      </c>
    </row>
    <row r="73" spans="1:11" ht="15.75" customHeight="1">
      <c r="A73" s="251"/>
      <c r="B73" s="252"/>
      <c r="C73" s="226"/>
      <c r="D73" s="257"/>
      <c r="E73" s="257"/>
      <c r="F73" s="222"/>
      <c r="G73" s="222"/>
      <c r="H73" s="366" t="s">
        <v>396</v>
      </c>
      <c r="I73" s="274">
        <v>50000</v>
      </c>
      <c r="J73" s="274" t="s">
        <v>659</v>
      </c>
      <c r="K73" s="279">
        <f>SUM(I73*1*9)</f>
        <v>450000</v>
      </c>
    </row>
    <row r="74" spans="1:11" ht="15.75" customHeight="1">
      <c r="A74" s="251"/>
      <c r="B74" s="252"/>
      <c r="C74" s="226"/>
      <c r="D74" s="257"/>
      <c r="E74" s="257"/>
      <c r="F74" s="222"/>
      <c r="G74" s="222"/>
      <c r="H74" s="366" t="s">
        <v>397</v>
      </c>
      <c r="I74" s="274">
        <v>30000</v>
      </c>
      <c r="J74" s="274" t="s">
        <v>679</v>
      </c>
      <c r="K74" s="279">
        <f>SUM(I74*6*12)</f>
        <v>2160000</v>
      </c>
    </row>
    <row r="75" spans="1:11" ht="15.75" customHeight="1">
      <c r="A75" s="251"/>
      <c r="B75" s="252"/>
      <c r="C75" s="226"/>
      <c r="D75" s="257"/>
      <c r="E75" s="257"/>
      <c r="F75" s="222"/>
      <c r="G75" s="222"/>
      <c r="H75" s="366" t="s">
        <v>397</v>
      </c>
      <c r="I75" s="274">
        <v>30000</v>
      </c>
      <c r="J75" s="274" t="s">
        <v>659</v>
      </c>
      <c r="K75" s="279">
        <f>SUM(I75*1*9)</f>
        <v>270000</v>
      </c>
    </row>
    <row r="76" spans="1:11" ht="15.75" customHeight="1">
      <c r="A76" s="251"/>
      <c r="B76" s="280"/>
      <c r="C76" s="281"/>
      <c r="D76" s="260"/>
      <c r="E76" s="260"/>
      <c r="F76" s="276"/>
      <c r="G76" s="282"/>
      <c r="H76" s="212" t="s">
        <v>398</v>
      </c>
      <c r="I76" s="136">
        <v>150000</v>
      </c>
      <c r="J76" s="136" t="s">
        <v>49</v>
      </c>
      <c r="K76" s="142">
        <f>SUM(I76*12)</f>
        <v>1800000</v>
      </c>
    </row>
    <row r="77" spans="1:11" ht="15.75" customHeight="1">
      <c r="A77" s="251"/>
      <c r="B77" s="280"/>
      <c r="C77" s="230" t="s">
        <v>258</v>
      </c>
      <c r="D77" s="253">
        <v>8100</v>
      </c>
      <c r="E77" s="253">
        <v>8169</v>
      </c>
      <c r="F77" s="262">
        <f>E77-D77</f>
        <v>69</v>
      </c>
      <c r="G77" s="256">
        <f>F77*100/D77</f>
        <v>0.8518518518518519</v>
      </c>
      <c r="H77" s="374" t="s">
        <v>63</v>
      </c>
      <c r="I77" s="375">
        <v>100000</v>
      </c>
      <c r="J77" s="375" t="s">
        <v>679</v>
      </c>
      <c r="K77" s="341">
        <f>SUM(I77*6*12)</f>
        <v>7200000</v>
      </c>
    </row>
    <row r="78" spans="1:11" ht="15.75" customHeight="1">
      <c r="A78" s="251"/>
      <c r="B78" s="280"/>
      <c r="C78" s="226"/>
      <c r="D78" s="257"/>
      <c r="E78" s="257"/>
      <c r="F78" s="277"/>
      <c r="G78" s="278"/>
      <c r="H78" s="366" t="s">
        <v>63</v>
      </c>
      <c r="I78" s="274">
        <v>100000</v>
      </c>
      <c r="J78" s="274" t="s">
        <v>659</v>
      </c>
      <c r="K78" s="279">
        <f>SUM(I78*1*9)</f>
        <v>900000</v>
      </c>
    </row>
    <row r="79" spans="1:11" ht="15.75" customHeight="1" thickBot="1">
      <c r="A79" s="264"/>
      <c r="B79" s="265"/>
      <c r="C79" s="229"/>
      <c r="D79" s="266"/>
      <c r="E79" s="266"/>
      <c r="F79" s="283"/>
      <c r="G79" s="284"/>
      <c r="H79" s="313" t="s">
        <v>991</v>
      </c>
      <c r="I79" s="285"/>
      <c r="J79" s="285"/>
      <c r="K79" s="303">
        <v>69040</v>
      </c>
    </row>
    <row r="80" spans="1:11" ht="19.5" customHeight="1">
      <c r="A80" s="502" t="s">
        <v>5</v>
      </c>
      <c r="B80" s="504" t="s">
        <v>6</v>
      </c>
      <c r="C80" s="504" t="s">
        <v>7</v>
      </c>
      <c r="D80" s="504" t="s">
        <v>36</v>
      </c>
      <c r="E80" s="504" t="s">
        <v>986</v>
      </c>
      <c r="F80" s="544" t="s">
        <v>38</v>
      </c>
      <c r="G80" s="545"/>
      <c r="H80" s="538" t="s">
        <v>987</v>
      </c>
      <c r="I80" s="539"/>
      <c r="J80" s="539"/>
      <c r="K80" s="540"/>
    </row>
    <row r="81" spans="1:11" ht="20.25" customHeight="1" thickBot="1">
      <c r="A81" s="503"/>
      <c r="B81" s="505"/>
      <c r="C81" s="505"/>
      <c r="D81" s="505"/>
      <c r="E81" s="505"/>
      <c r="F81" s="269" t="s">
        <v>9</v>
      </c>
      <c r="G81" s="235" t="s">
        <v>40</v>
      </c>
      <c r="H81" s="541"/>
      <c r="I81" s="542"/>
      <c r="J81" s="542"/>
      <c r="K81" s="543"/>
    </row>
    <row r="82" spans="1:11" ht="21" customHeight="1" thickTop="1">
      <c r="A82" s="288" t="s">
        <v>41</v>
      </c>
      <c r="B82" s="289" t="s">
        <v>71</v>
      </c>
      <c r="C82" s="290" t="s">
        <v>13</v>
      </c>
      <c r="D82" s="291">
        <f>SUM(D83+D86+D92+D102+D104+D109+D112)</f>
        <v>20526</v>
      </c>
      <c r="E82" s="291">
        <f>SUM(E83+E86+E92+E102+E104+E109+E112)</f>
        <v>20526</v>
      </c>
      <c r="F82" s="292">
        <f>E82-D82</f>
        <v>0</v>
      </c>
      <c r="G82" s="293">
        <f>F82*100/D82</f>
        <v>0</v>
      </c>
      <c r="H82" s="294"/>
      <c r="I82" s="295"/>
      <c r="J82" s="295"/>
      <c r="K82" s="296">
        <f>SUM(K83+K86+K89+K92+K102+K104+K109+K112)</f>
        <v>20525563.671666667</v>
      </c>
    </row>
    <row r="83" spans="1:11" ht="18.75" customHeight="1">
      <c r="A83" s="251"/>
      <c r="B83" s="297"/>
      <c r="C83" s="226" t="s">
        <v>65</v>
      </c>
      <c r="D83" s="298">
        <v>8448</v>
      </c>
      <c r="E83" s="298">
        <v>8448</v>
      </c>
      <c r="F83" s="277">
        <f>E83-D83</f>
        <v>0</v>
      </c>
      <c r="G83" s="257"/>
      <c r="H83" s="263" t="s">
        <v>42</v>
      </c>
      <c r="I83" s="211"/>
      <c r="J83" s="211"/>
      <c r="K83" s="149">
        <f>SUM(K84+K85)</f>
        <v>8448000</v>
      </c>
    </row>
    <row r="84" spans="1:11" ht="15" customHeight="1">
      <c r="A84" s="251"/>
      <c r="B84" s="297"/>
      <c r="C84" s="226"/>
      <c r="D84" s="257"/>
      <c r="E84" s="257"/>
      <c r="F84" s="257"/>
      <c r="G84" s="257"/>
      <c r="H84" s="374" t="s">
        <v>72</v>
      </c>
      <c r="I84" s="375">
        <v>695000</v>
      </c>
      <c r="J84" s="375" t="s">
        <v>77</v>
      </c>
      <c r="K84" s="341">
        <f>SUM(I84*6)</f>
        <v>4170000</v>
      </c>
    </row>
    <row r="85" spans="1:11" ht="15" customHeight="1">
      <c r="A85" s="251"/>
      <c r="B85" s="297"/>
      <c r="C85" s="259"/>
      <c r="D85" s="260"/>
      <c r="E85" s="260"/>
      <c r="F85" s="260"/>
      <c r="G85" s="260"/>
      <c r="H85" s="212" t="s">
        <v>73</v>
      </c>
      <c r="I85" s="136">
        <v>713000</v>
      </c>
      <c r="J85" s="136" t="s">
        <v>77</v>
      </c>
      <c r="K85" s="142">
        <f>SUM(I85*6)</f>
        <v>4278000</v>
      </c>
    </row>
    <row r="86" spans="1:11" ht="17.25" customHeight="1">
      <c r="A86" s="251"/>
      <c r="B86" s="297"/>
      <c r="C86" s="226" t="s">
        <v>57</v>
      </c>
      <c r="D86" s="257">
        <v>3766</v>
      </c>
      <c r="E86" s="257">
        <v>3766</v>
      </c>
      <c r="F86" s="277">
        <f>E86-D86</f>
        <v>0</v>
      </c>
      <c r="G86" s="278">
        <f>F86*100/D86</f>
        <v>0</v>
      </c>
      <c r="H86" s="263" t="s">
        <v>43</v>
      </c>
      <c r="I86" s="211"/>
      <c r="J86" s="211"/>
      <c r="K86" s="149">
        <f>SUM(K87+K88)</f>
        <v>2816000</v>
      </c>
    </row>
    <row r="87" spans="1:11" ht="15" customHeight="1">
      <c r="A87" s="251"/>
      <c r="B87" s="297"/>
      <c r="C87" s="226"/>
      <c r="D87" s="257"/>
      <c r="E87" s="257"/>
      <c r="F87" s="222"/>
      <c r="G87" s="222"/>
      <c r="H87" s="374" t="s">
        <v>72</v>
      </c>
      <c r="I87" s="375">
        <v>695000</v>
      </c>
      <c r="J87" s="375" t="s">
        <v>44</v>
      </c>
      <c r="K87" s="341">
        <f>SUM(I87*200%)</f>
        <v>1390000</v>
      </c>
    </row>
    <row r="88" spans="1:11" ht="15" customHeight="1">
      <c r="A88" s="251"/>
      <c r="B88" s="297"/>
      <c r="C88" s="226"/>
      <c r="D88" s="257"/>
      <c r="E88" s="257"/>
      <c r="F88" s="222"/>
      <c r="G88" s="222"/>
      <c r="H88" s="212" t="s">
        <v>73</v>
      </c>
      <c r="I88" s="136">
        <v>713000</v>
      </c>
      <c r="J88" s="136" t="s">
        <v>44</v>
      </c>
      <c r="K88" s="142">
        <f>SUM(I88*200%)</f>
        <v>1426000</v>
      </c>
    </row>
    <row r="89" spans="1:11" ht="18" customHeight="1">
      <c r="A89" s="251"/>
      <c r="B89" s="297"/>
      <c r="C89" s="226"/>
      <c r="D89" s="257"/>
      <c r="E89" s="257"/>
      <c r="F89" s="222"/>
      <c r="G89" s="222"/>
      <c r="H89" s="263" t="s">
        <v>387</v>
      </c>
      <c r="I89" s="211"/>
      <c r="J89" s="211"/>
      <c r="K89" s="149">
        <f>SUM(K90+K91)</f>
        <v>950850</v>
      </c>
    </row>
    <row r="90" spans="1:11" ht="15" customHeight="1">
      <c r="A90" s="251"/>
      <c r="B90" s="297"/>
      <c r="C90" s="226"/>
      <c r="D90" s="257"/>
      <c r="E90" s="257"/>
      <c r="F90" s="222"/>
      <c r="G90" s="222"/>
      <c r="H90" s="374" t="s">
        <v>72</v>
      </c>
      <c r="I90" s="375">
        <v>695000</v>
      </c>
      <c r="J90" s="375" t="s">
        <v>74</v>
      </c>
      <c r="K90" s="341">
        <f>SUM(I90*65%)</f>
        <v>451750</v>
      </c>
    </row>
    <row r="91" spans="1:11" ht="15" customHeight="1">
      <c r="A91" s="251"/>
      <c r="B91" s="297"/>
      <c r="C91" s="259"/>
      <c r="D91" s="260"/>
      <c r="E91" s="260"/>
      <c r="F91" s="276"/>
      <c r="G91" s="276"/>
      <c r="H91" s="212" t="s">
        <v>73</v>
      </c>
      <c r="I91" s="136">
        <v>713000</v>
      </c>
      <c r="J91" s="136" t="s">
        <v>75</v>
      </c>
      <c r="K91" s="142">
        <f>SUM(I91*70%)</f>
        <v>499099.99999999994</v>
      </c>
    </row>
    <row r="92" spans="1:11" ht="21" customHeight="1">
      <c r="A92" s="299"/>
      <c r="B92" s="300"/>
      <c r="C92" s="226" t="s">
        <v>58</v>
      </c>
      <c r="D92" s="298">
        <v>3286</v>
      </c>
      <c r="E92" s="298">
        <v>3286</v>
      </c>
      <c r="F92" s="277">
        <f>E92-D92</f>
        <v>0</v>
      </c>
      <c r="G92" s="278">
        <f>F92*100/D92</f>
        <v>0</v>
      </c>
      <c r="H92" s="212" t="s">
        <v>47</v>
      </c>
      <c r="I92" s="136"/>
      <c r="J92" s="274"/>
      <c r="K92" s="142">
        <f>SUM(K93+K94+K95+K96+K97+K98+K99+K100+K101)</f>
        <v>3285600</v>
      </c>
    </row>
    <row r="93" spans="1:11" ht="15" customHeight="1">
      <c r="A93" s="299"/>
      <c r="B93" s="300"/>
      <c r="C93" s="226"/>
      <c r="D93" s="257"/>
      <c r="E93" s="257"/>
      <c r="F93" s="257"/>
      <c r="G93" s="257"/>
      <c r="H93" s="374" t="s">
        <v>388</v>
      </c>
      <c r="I93" s="375">
        <v>8448000</v>
      </c>
      <c r="J93" s="375" t="s">
        <v>48</v>
      </c>
      <c r="K93" s="341">
        <f>SUM(I93*20%)</f>
        <v>1689600</v>
      </c>
    </row>
    <row r="94" spans="1:11" ht="15" customHeight="1">
      <c r="A94" s="299"/>
      <c r="B94" s="300"/>
      <c r="C94" s="226"/>
      <c r="D94" s="257"/>
      <c r="E94" s="257"/>
      <c r="F94" s="257"/>
      <c r="G94" s="257"/>
      <c r="H94" s="366" t="s">
        <v>389</v>
      </c>
      <c r="I94" s="274">
        <v>20000</v>
      </c>
      <c r="J94" s="274" t="s">
        <v>76</v>
      </c>
      <c r="K94" s="279">
        <f>SUM(I94*12*1)</f>
        <v>240000</v>
      </c>
    </row>
    <row r="95" spans="1:11" ht="15" customHeight="1">
      <c r="A95" s="299"/>
      <c r="B95" s="300"/>
      <c r="C95" s="226"/>
      <c r="D95" s="257"/>
      <c r="E95" s="257"/>
      <c r="F95" s="257"/>
      <c r="G95" s="257"/>
      <c r="H95" s="366" t="s">
        <v>390</v>
      </c>
      <c r="I95" s="274">
        <v>695000</v>
      </c>
      <c r="J95" s="274" t="s">
        <v>50</v>
      </c>
      <c r="K95" s="279">
        <f>SUM(I95*50%)</f>
        <v>347500</v>
      </c>
    </row>
    <row r="96" spans="1:11" ht="15" customHeight="1">
      <c r="A96" s="299"/>
      <c r="B96" s="300"/>
      <c r="C96" s="226"/>
      <c r="D96" s="257"/>
      <c r="E96" s="257"/>
      <c r="F96" s="257"/>
      <c r="G96" s="257"/>
      <c r="H96" s="366" t="s">
        <v>390</v>
      </c>
      <c r="I96" s="274">
        <v>713000</v>
      </c>
      <c r="J96" s="274" t="s">
        <v>50</v>
      </c>
      <c r="K96" s="279">
        <f>SUM(I96*50%)</f>
        <v>356500</v>
      </c>
    </row>
    <row r="97" spans="1:11" ht="15" customHeight="1">
      <c r="A97" s="299"/>
      <c r="B97" s="300"/>
      <c r="C97" s="226"/>
      <c r="D97" s="257"/>
      <c r="E97" s="257"/>
      <c r="F97" s="257"/>
      <c r="G97" s="257"/>
      <c r="H97" s="366" t="s">
        <v>391</v>
      </c>
      <c r="I97" s="274">
        <v>695000</v>
      </c>
      <c r="J97" s="274" t="s">
        <v>51</v>
      </c>
      <c r="K97" s="279">
        <f>SUM(I97*25%)</f>
        <v>173750</v>
      </c>
    </row>
    <row r="98" spans="1:11" ht="15" customHeight="1">
      <c r="A98" s="299"/>
      <c r="B98" s="300"/>
      <c r="C98" s="226"/>
      <c r="D98" s="257"/>
      <c r="E98" s="257"/>
      <c r="F98" s="257"/>
      <c r="G98" s="257"/>
      <c r="H98" s="366" t="s">
        <v>391</v>
      </c>
      <c r="I98" s="274">
        <v>713000</v>
      </c>
      <c r="J98" s="274" t="s">
        <v>51</v>
      </c>
      <c r="K98" s="279">
        <f>SUM(I98*25%)</f>
        <v>178250</v>
      </c>
    </row>
    <row r="99" spans="1:11" ht="15" customHeight="1">
      <c r="A99" s="299"/>
      <c r="B99" s="300"/>
      <c r="C99" s="226"/>
      <c r="D99" s="257"/>
      <c r="E99" s="257"/>
      <c r="F99" s="257"/>
      <c r="G99" s="257"/>
      <c r="H99" s="366" t="s">
        <v>52</v>
      </c>
      <c r="I99" s="274"/>
      <c r="J99" s="274"/>
      <c r="K99" s="279">
        <f>SUM(I99*12*12)</f>
        <v>0</v>
      </c>
    </row>
    <row r="100" spans="1:11" ht="15" customHeight="1">
      <c r="A100" s="299"/>
      <c r="B100" s="300"/>
      <c r="C100" s="226"/>
      <c r="D100" s="257"/>
      <c r="E100" s="257"/>
      <c r="F100" s="257"/>
      <c r="G100" s="257"/>
      <c r="H100" s="366" t="s">
        <v>53</v>
      </c>
      <c r="I100" s="274">
        <v>50000</v>
      </c>
      <c r="J100" s="274" t="s">
        <v>77</v>
      </c>
      <c r="K100" s="279">
        <f>SUM(I100*6)</f>
        <v>300000</v>
      </c>
    </row>
    <row r="101" spans="1:11" ht="15" customHeight="1">
      <c r="A101" s="299"/>
      <c r="B101" s="300"/>
      <c r="C101" s="259"/>
      <c r="D101" s="260"/>
      <c r="E101" s="260"/>
      <c r="F101" s="276"/>
      <c r="G101" s="276"/>
      <c r="H101" s="212" t="s">
        <v>392</v>
      </c>
      <c r="I101" s="136"/>
      <c r="J101" s="136"/>
      <c r="K101" s="142">
        <f>SUM(I101*1*12)</f>
        <v>0</v>
      </c>
    </row>
    <row r="102" spans="1:11" ht="15" customHeight="1">
      <c r="A102" s="299"/>
      <c r="B102" s="300"/>
      <c r="C102" s="226" t="s">
        <v>66</v>
      </c>
      <c r="D102" s="257">
        <v>1472</v>
      </c>
      <c r="E102" s="257">
        <v>1472</v>
      </c>
      <c r="F102" s="277">
        <f>E102-D102</f>
        <v>0</v>
      </c>
      <c r="G102" s="278">
        <f>F102*100/D102</f>
        <v>0</v>
      </c>
      <c r="H102" s="366" t="s">
        <v>61</v>
      </c>
      <c r="I102" s="274">
        <f>SUM(K83+K86+K89+K92+K110+K111+K112)</f>
        <v>17660450</v>
      </c>
      <c r="J102" s="274" t="s">
        <v>59</v>
      </c>
      <c r="K102" s="279">
        <f>SUM(I102*1/12)</f>
        <v>1471704.1666666667</v>
      </c>
    </row>
    <row r="103" spans="1:11" ht="15" customHeight="1">
      <c r="A103" s="299"/>
      <c r="B103" s="300"/>
      <c r="C103" s="259" t="s">
        <v>67</v>
      </c>
      <c r="D103" s="260"/>
      <c r="E103" s="260"/>
      <c r="F103" s="276"/>
      <c r="G103" s="276"/>
      <c r="H103" s="212"/>
      <c r="I103" s="136"/>
      <c r="J103" s="136"/>
      <c r="K103" s="142"/>
    </row>
    <row r="104" spans="1:11" ht="20.25" customHeight="1">
      <c r="A104" s="299"/>
      <c r="B104" s="300"/>
      <c r="C104" s="226" t="s">
        <v>68</v>
      </c>
      <c r="D104" s="257">
        <v>1394</v>
      </c>
      <c r="E104" s="257">
        <v>1394</v>
      </c>
      <c r="F104" s="277">
        <f>E104-D104</f>
        <v>0</v>
      </c>
      <c r="G104" s="278">
        <f>F104*100/D104</f>
        <v>0</v>
      </c>
      <c r="H104" s="263" t="s">
        <v>62</v>
      </c>
      <c r="I104" s="211"/>
      <c r="J104" s="211"/>
      <c r="K104" s="149">
        <f>SUM(K105+K106+K107+K108)</f>
        <v>1393409.505</v>
      </c>
    </row>
    <row r="105" spans="1:11" ht="15" customHeight="1">
      <c r="A105" s="299"/>
      <c r="B105" s="300"/>
      <c r="C105" s="226"/>
      <c r="D105" s="257"/>
      <c r="E105" s="257"/>
      <c r="F105" s="222"/>
      <c r="G105" s="222"/>
      <c r="H105" s="374" t="s">
        <v>60</v>
      </c>
      <c r="I105" s="375">
        <v>17660450</v>
      </c>
      <c r="J105" s="375" t="s">
        <v>660</v>
      </c>
      <c r="K105" s="341">
        <f>SUM(I105*2.24%)</f>
        <v>395594.0800000001</v>
      </c>
    </row>
    <row r="106" spans="1:11" ht="15" customHeight="1">
      <c r="A106" s="299"/>
      <c r="B106" s="300"/>
      <c r="C106" s="226"/>
      <c r="D106" s="257"/>
      <c r="E106" s="257"/>
      <c r="F106" s="222"/>
      <c r="G106" s="222"/>
      <c r="H106" s="366" t="s">
        <v>393</v>
      </c>
      <c r="I106" s="274">
        <v>17660450</v>
      </c>
      <c r="J106" s="274" t="s">
        <v>217</v>
      </c>
      <c r="K106" s="279">
        <f>SUM(I106*4.5%)</f>
        <v>794720.25</v>
      </c>
    </row>
    <row r="107" spans="1:11" ht="15" customHeight="1">
      <c r="A107" s="299"/>
      <c r="B107" s="300"/>
      <c r="C107" s="226"/>
      <c r="D107" s="257"/>
      <c r="E107" s="257"/>
      <c r="F107" s="222"/>
      <c r="G107" s="222"/>
      <c r="H107" s="366" t="s">
        <v>394</v>
      </c>
      <c r="I107" s="274">
        <v>17660450</v>
      </c>
      <c r="J107" s="274" t="s">
        <v>532</v>
      </c>
      <c r="K107" s="279">
        <f>SUM(I107*0.7%)</f>
        <v>123623.15</v>
      </c>
    </row>
    <row r="108" spans="1:11" ht="15" customHeight="1">
      <c r="A108" s="299"/>
      <c r="B108" s="300"/>
      <c r="C108" s="259"/>
      <c r="D108" s="260"/>
      <c r="E108" s="260"/>
      <c r="F108" s="276"/>
      <c r="G108" s="276"/>
      <c r="H108" s="212" t="s">
        <v>213</v>
      </c>
      <c r="I108" s="136">
        <v>17660450</v>
      </c>
      <c r="J108" s="136" t="s">
        <v>664</v>
      </c>
      <c r="K108" s="142">
        <f>SUM(I108*0.45%)</f>
        <v>79472.02500000001</v>
      </c>
    </row>
    <row r="109" spans="1:11" ht="18" customHeight="1">
      <c r="A109" s="299"/>
      <c r="B109" s="300"/>
      <c r="C109" s="226" t="s">
        <v>69</v>
      </c>
      <c r="D109" s="257">
        <v>960</v>
      </c>
      <c r="E109" s="257">
        <v>960</v>
      </c>
      <c r="F109" s="277">
        <f>E109-D109</f>
        <v>0</v>
      </c>
      <c r="G109" s="278">
        <f>F109*100/D109</f>
        <v>0</v>
      </c>
      <c r="H109" s="263" t="s">
        <v>395</v>
      </c>
      <c r="I109" s="211"/>
      <c r="J109" s="211"/>
      <c r="K109" s="149">
        <f>SUM(K110+K111)</f>
        <v>960000</v>
      </c>
    </row>
    <row r="110" spans="1:11" ht="15" customHeight="1">
      <c r="A110" s="299"/>
      <c r="B110" s="300"/>
      <c r="C110" s="226"/>
      <c r="D110" s="257"/>
      <c r="E110" s="257"/>
      <c r="F110" s="222"/>
      <c r="G110" s="222"/>
      <c r="H110" s="374" t="s">
        <v>396</v>
      </c>
      <c r="I110" s="375">
        <v>50000</v>
      </c>
      <c r="J110" s="375" t="s">
        <v>56</v>
      </c>
      <c r="K110" s="341">
        <f>SUM(I110*1*12)</f>
        <v>600000</v>
      </c>
    </row>
    <row r="111" spans="1:11" ht="15" customHeight="1">
      <c r="A111" s="299"/>
      <c r="B111" s="300"/>
      <c r="C111" s="259"/>
      <c r="D111" s="260"/>
      <c r="E111" s="260"/>
      <c r="F111" s="276"/>
      <c r="G111" s="276"/>
      <c r="H111" s="212" t="s">
        <v>397</v>
      </c>
      <c r="I111" s="136">
        <v>30000</v>
      </c>
      <c r="J111" s="136" t="s">
        <v>56</v>
      </c>
      <c r="K111" s="142">
        <f>SUM(I111*1*12)</f>
        <v>360000</v>
      </c>
    </row>
    <row r="112" spans="1:11" ht="18.75" customHeight="1" thickBot="1">
      <c r="A112" s="301"/>
      <c r="B112" s="302"/>
      <c r="C112" s="229" t="s">
        <v>258</v>
      </c>
      <c r="D112" s="266">
        <v>1200</v>
      </c>
      <c r="E112" s="266">
        <v>1200</v>
      </c>
      <c r="F112" s="283">
        <f>E112-D112</f>
        <v>0</v>
      </c>
      <c r="G112" s="284">
        <f>F112*100/D112</f>
        <v>0</v>
      </c>
      <c r="H112" s="313" t="s">
        <v>63</v>
      </c>
      <c r="I112" s="285">
        <v>100000</v>
      </c>
      <c r="J112" s="285" t="s">
        <v>56</v>
      </c>
      <c r="K112" s="303">
        <f>SUM(I112*1*12)</f>
        <v>1200000</v>
      </c>
    </row>
    <row r="113" spans="1:11" ht="15.75" customHeight="1">
      <c r="A113" s="502" t="s">
        <v>5</v>
      </c>
      <c r="B113" s="504" t="s">
        <v>6</v>
      </c>
      <c r="C113" s="504" t="s">
        <v>7</v>
      </c>
      <c r="D113" s="504" t="s">
        <v>36</v>
      </c>
      <c r="E113" s="504" t="s">
        <v>986</v>
      </c>
      <c r="F113" s="544" t="s">
        <v>38</v>
      </c>
      <c r="G113" s="545"/>
      <c r="H113" s="538" t="s">
        <v>987</v>
      </c>
      <c r="I113" s="539"/>
      <c r="J113" s="539"/>
      <c r="K113" s="540"/>
    </row>
    <row r="114" spans="1:11" ht="18.75" customHeight="1" thickBot="1">
      <c r="A114" s="503"/>
      <c r="B114" s="505"/>
      <c r="C114" s="505"/>
      <c r="D114" s="505"/>
      <c r="E114" s="505"/>
      <c r="F114" s="269" t="s">
        <v>9</v>
      </c>
      <c r="G114" s="235" t="s">
        <v>40</v>
      </c>
      <c r="H114" s="541"/>
      <c r="I114" s="542"/>
      <c r="J114" s="542"/>
      <c r="K114" s="543"/>
    </row>
    <row r="115" spans="1:11" ht="19.5" customHeight="1" thickTop="1">
      <c r="A115" s="288" t="s">
        <v>41</v>
      </c>
      <c r="B115" s="289" t="s">
        <v>78</v>
      </c>
      <c r="C115" s="290" t="s">
        <v>13</v>
      </c>
      <c r="D115" s="291">
        <f>SUM(D116+D119+D125+D128+D139+D141+D146+D149)</f>
        <v>29297</v>
      </c>
      <c r="E115" s="291">
        <f>SUM(E116+E119+E125+E128+E139+E141+E146+E149)</f>
        <v>29297</v>
      </c>
      <c r="F115" s="292">
        <f>E115-D115</f>
        <v>0</v>
      </c>
      <c r="G115" s="293">
        <f>F115*100/D115</f>
        <v>0</v>
      </c>
      <c r="H115" s="294"/>
      <c r="I115" s="295"/>
      <c r="J115" s="295"/>
      <c r="K115" s="296">
        <f>SUM(K116+K119+K122+K125+K128+K139+K141+K146+K149)</f>
        <v>29296299.41</v>
      </c>
    </row>
    <row r="116" spans="1:11" ht="17.25" customHeight="1">
      <c r="A116" s="251"/>
      <c r="B116" s="297"/>
      <c r="C116" s="226" t="s">
        <v>65</v>
      </c>
      <c r="D116" s="298">
        <v>8556</v>
      </c>
      <c r="E116" s="298">
        <v>8556</v>
      </c>
      <c r="F116" s="277">
        <f>E116-D116</f>
        <v>0</v>
      </c>
      <c r="G116" s="278">
        <f>F116*100/D116</f>
        <v>0</v>
      </c>
      <c r="H116" s="263" t="s">
        <v>42</v>
      </c>
      <c r="I116" s="211"/>
      <c r="J116" s="211"/>
      <c r="K116" s="149">
        <f>SUM(K117+K118)</f>
        <v>8556000</v>
      </c>
    </row>
    <row r="117" spans="1:11" ht="12.75" customHeight="1">
      <c r="A117" s="251"/>
      <c r="B117" s="297"/>
      <c r="C117" s="226"/>
      <c r="D117" s="257"/>
      <c r="E117" s="257"/>
      <c r="F117" s="257"/>
      <c r="G117" s="257"/>
      <c r="H117" s="374" t="s">
        <v>79</v>
      </c>
      <c r="I117" s="375">
        <v>713000</v>
      </c>
      <c r="J117" s="375" t="s">
        <v>49</v>
      </c>
      <c r="K117" s="341">
        <f>SUM(I117*12)</f>
        <v>8556000</v>
      </c>
    </row>
    <row r="118" spans="1:11" ht="12.75" customHeight="1">
      <c r="A118" s="251"/>
      <c r="B118" s="297"/>
      <c r="C118" s="259"/>
      <c r="D118" s="260"/>
      <c r="E118" s="260"/>
      <c r="F118" s="260"/>
      <c r="G118" s="260"/>
      <c r="H118" s="212"/>
      <c r="I118" s="136"/>
      <c r="J118" s="136"/>
      <c r="K118" s="142">
        <f>SUM(I118*6)</f>
        <v>0</v>
      </c>
    </row>
    <row r="119" spans="1:11" ht="18" customHeight="1">
      <c r="A119" s="251"/>
      <c r="B119" s="297"/>
      <c r="C119" s="226" t="s">
        <v>57</v>
      </c>
      <c r="D119" s="257">
        <v>3850</v>
      </c>
      <c r="E119" s="257">
        <v>3850</v>
      </c>
      <c r="F119" s="277">
        <f>E119-D119</f>
        <v>0</v>
      </c>
      <c r="G119" s="278">
        <f>F119*100/D119</f>
        <v>0</v>
      </c>
      <c r="H119" s="263" t="s">
        <v>43</v>
      </c>
      <c r="I119" s="211"/>
      <c r="J119" s="211"/>
      <c r="K119" s="149">
        <f>SUM(K120+K121)</f>
        <v>2852000</v>
      </c>
    </row>
    <row r="120" spans="1:11" ht="12.75" customHeight="1">
      <c r="A120" s="251"/>
      <c r="B120" s="297"/>
      <c r="C120" s="226"/>
      <c r="D120" s="257"/>
      <c r="E120" s="257"/>
      <c r="F120" s="222"/>
      <c r="G120" s="222"/>
      <c r="H120" s="374" t="s">
        <v>79</v>
      </c>
      <c r="I120" s="375">
        <v>713000</v>
      </c>
      <c r="J120" s="375" t="s">
        <v>45</v>
      </c>
      <c r="K120" s="341">
        <f>SUM(I120*400%)</f>
        <v>2852000</v>
      </c>
    </row>
    <row r="121" spans="1:11" ht="12.75" customHeight="1">
      <c r="A121" s="251"/>
      <c r="B121" s="297"/>
      <c r="C121" s="226"/>
      <c r="D121" s="257"/>
      <c r="E121" s="257"/>
      <c r="F121" s="222"/>
      <c r="G121" s="222"/>
      <c r="H121" s="212"/>
      <c r="I121" s="136"/>
      <c r="J121" s="136"/>
      <c r="K121" s="142">
        <f>SUM(I121*200%)</f>
        <v>0</v>
      </c>
    </row>
    <row r="122" spans="1:11" ht="16.5" customHeight="1">
      <c r="A122" s="251"/>
      <c r="B122" s="297"/>
      <c r="C122" s="226"/>
      <c r="D122" s="257"/>
      <c r="E122" s="257"/>
      <c r="F122" s="222"/>
      <c r="G122" s="222"/>
      <c r="H122" s="263" t="s">
        <v>387</v>
      </c>
      <c r="I122" s="211"/>
      <c r="J122" s="211"/>
      <c r="K122" s="149">
        <f>SUM(K123+K124)</f>
        <v>998199.9999999999</v>
      </c>
    </row>
    <row r="123" spans="1:11" ht="12.75" customHeight="1">
      <c r="A123" s="251"/>
      <c r="B123" s="297"/>
      <c r="C123" s="226"/>
      <c r="D123" s="257"/>
      <c r="E123" s="257"/>
      <c r="F123" s="222"/>
      <c r="G123" s="222"/>
      <c r="H123" s="374" t="s">
        <v>79</v>
      </c>
      <c r="I123" s="375">
        <v>713000</v>
      </c>
      <c r="J123" s="375" t="s">
        <v>80</v>
      </c>
      <c r="K123" s="341">
        <f>SUM(I123*70%*2)</f>
        <v>998199.9999999999</v>
      </c>
    </row>
    <row r="124" spans="1:11" ht="12.75" customHeight="1">
      <c r="A124" s="251"/>
      <c r="B124" s="297"/>
      <c r="C124" s="259"/>
      <c r="D124" s="260"/>
      <c r="E124" s="260"/>
      <c r="F124" s="276"/>
      <c r="G124" s="276"/>
      <c r="H124" s="212"/>
      <c r="I124" s="136"/>
      <c r="J124" s="136"/>
      <c r="K124" s="142">
        <f>SUM(I124*70%)</f>
        <v>0</v>
      </c>
    </row>
    <row r="125" spans="1:11" ht="22.5" customHeight="1">
      <c r="A125" s="251"/>
      <c r="B125" s="304"/>
      <c r="C125" s="226" t="s">
        <v>399</v>
      </c>
      <c r="D125" s="257">
        <v>7260</v>
      </c>
      <c r="E125" s="257">
        <v>7260</v>
      </c>
      <c r="F125" s="277">
        <f>E125-D125</f>
        <v>0</v>
      </c>
      <c r="G125" s="278">
        <v>0</v>
      </c>
      <c r="H125" s="263" t="s">
        <v>400</v>
      </c>
      <c r="I125" s="211"/>
      <c r="J125" s="211"/>
      <c r="K125" s="149">
        <f>SUM(K126:K127)</f>
        <v>7260000</v>
      </c>
    </row>
    <row r="126" spans="1:11" ht="22.5" customHeight="1">
      <c r="A126" s="251"/>
      <c r="B126" s="304"/>
      <c r="C126" s="226"/>
      <c r="D126" s="257"/>
      <c r="E126" s="257"/>
      <c r="F126" s="277"/>
      <c r="G126" s="278"/>
      <c r="H126" s="374" t="s">
        <v>81</v>
      </c>
      <c r="I126" s="375">
        <v>660000</v>
      </c>
      <c r="J126" s="375" t="s">
        <v>539</v>
      </c>
      <c r="K126" s="341">
        <f>SUM(I126*1)</f>
        <v>660000</v>
      </c>
    </row>
    <row r="127" spans="1:11" ht="18.75" customHeight="1">
      <c r="A127" s="251"/>
      <c r="B127" s="304"/>
      <c r="C127" s="259"/>
      <c r="D127" s="260"/>
      <c r="E127" s="260"/>
      <c r="F127" s="276"/>
      <c r="G127" s="276"/>
      <c r="H127" s="212" t="s">
        <v>81</v>
      </c>
      <c r="I127" s="136">
        <v>600000</v>
      </c>
      <c r="J127" s="136" t="s">
        <v>716</v>
      </c>
      <c r="K127" s="142">
        <f>SUM(I127*11)</f>
        <v>6600000</v>
      </c>
    </row>
    <row r="128" spans="1:11" ht="19.5" customHeight="1">
      <c r="A128" s="299"/>
      <c r="B128" s="300"/>
      <c r="C128" s="226" t="s">
        <v>58</v>
      </c>
      <c r="D128" s="298">
        <v>3381</v>
      </c>
      <c r="E128" s="298">
        <v>3381</v>
      </c>
      <c r="F128" s="277">
        <f>E128-D128</f>
        <v>0</v>
      </c>
      <c r="G128" s="278">
        <f>F128*100/D128</f>
        <v>0</v>
      </c>
      <c r="H128" s="212" t="s">
        <v>47</v>
      </c>
      <c r="I128" s="136"/>
      <c r="J128" s="274"/>
      <c r="K128" s="142">
        <f>SUM(K129+K130+K131+K132+K133+K134+K135+K137+K138)</f>
        <v>3380700</v>
      </c>
    </row>
    <row r="129" spans="1:11" ht="12.75" customHeight="1">
      <c r="A129" s="299"/>
      <c r="B129" s="300"/>
      <c r="C129" s="226"/>
      <c r="D129" s="257"/>
      <c r="E129" s="257"/>
      <c r="F129" s="257"/>
      <c r="G129" s="257"/>
      <c r="H129" s="374" t="s">
        <v>388</v>
      </c>
      <c r="I129" s="375">
        <v>8556000</v>
      </c>
      <c r="J129" s="375" t="s">
        <v>48</v>
      </c>
      <c r="K129" s="341">
        <f>SUM(I129*20%)</f>
        <v>1711200</v>
      </c>
    </row>
    <row r="130" spans="1:11" ht="12.75" customHeight="1">
      <c r="A130" s="299"/>
      <c r="B130" s="300"/>
      <c r="C130" s="226"/>
      <c r="D130" s="257"/>
      <c r="E130" s="257"/>
      <c r="F130" s="257"/>
      <c r="G130" s="257"/>
      <c r="H130" s="366" t="s">
        <v>389</v>
      </c>
      <c r="I130" s="274">
        <v>20000</v>
      </c>
      <c r="J130" s="274" t="s">
        <v>76</v>
      </c>
      <c r="K130" s="279">
        <f>SUM(I130*12*1)</f>
        <v>240000</v>
      </c>
    </row>
    <row r="131" spans="1:11" ht="12.75" customHeight="1">
      <c r="A131" s="299"/>
      <c r="B131" s="300"/>
      <c r="C131" s="226"/>
      <c r="D131" s="257"/>
      <c r="E131" s="257"/>
      <c r="F131" s="257"/>
      <c r="G131" s="257"/>
      <c r="H131" s="366" t="s">
        <v>390</v>
      </c>
      <c r="I131" s="274">
        <v>713000</v>
      </c>
      <c r="J131" s="274" t="s">
        <v>82</v>
      </c>
      <c r="K131" s="279">
        <f>SUM(I131*50%*2)</f>
        <v>713000</v>
      </c>
    </row>
    <row r="132" spans="1:11" ht="12.75" customHeight="1">
      <c r="A132" s="299"/>
      <c r="B132" s="300"/>
      <c r="C132" s="226"/>
      <c r="D132" s="257"/>
      <c r="E132" s="257"/>
      <c r="F132" s="257"/>
      <c r="G132" s="257"/>
      <c r="H132" s="366"/>
      <c r="I132" s="274"/>
      <c r="J132" s="274"/>
      <c r="K132" s="279">
        <f>SUM(I132*50%)</f>
        <v>0</v>
      </c>
    </row>
    <row r="133" spans="1:11" ht="12.75" customHeight="1">
      <c r="A133" s="299"/>
      <c r="B133" s="300"/>
      <c r="C133" s="226"/>
      <c r="D133" s="257"/>
      <c r="E133" s="257"/>
      <c r="F133" s="257"/>
      <c r="G133" s="257"/>
      <c r="H133" s="366" t="s">
        <v>391</v>
      </c>
      <c r="I133" s="274">
        <v>713000</v>
      </c>
      <c r="J133" s="274" t="s">
        <v>83</v>
      </c>
      <c r="K133" s="279">
        <f>SUM(I133*25%*2)</f>
        <v>356500</v>
      </c>
    </row>
    <row r="134" spans="1:11" ht="12.75" customHeight="1">
      <c r="A134" s="299"/>
      <c r="B134" s="300"/>
      <c r="C134" s="226"/>
      <c r="D134" s="257"/>
      <c r="E134" s="257"/>
      <c r="F134" s="257"/>
      <c r="G134" s="257"/>
      <c r="H134" s="366"/>
      <c r="I134" s="274"/>
      <c r="J134" s="274"/>
      <c r="K134" s="279">
        <f>SUM(I134*25%)</f>
        <v>0</v>
      </c>
    </row>
    <row r="135" spans="1:11" ht="12.75" customHeight="1">
      <c r="A135" s="299"/>
      <c r="B135" s="300"/>
      <c r="C135" s="226"/>
      <c r="D135" s="257"/>
      <c r="E135" s="257"/>
      <c r="F135" s="257"/>
      <c r="G135" s="257"/>
      <c r="H135" s="366" t="s">
        <v>52</v>
      </c>
      <c r="I135" s="274">
        <v>15000</v>
      </c>
      <c r="J135" s="274" t="s">
        <v>55</v>
      </c>
      <c r="K135" s="279">
        <f>SUM(I135*2*12)</f>
        <v>360000</v>
      </c>
    </row>
    <row r="136" spans="1:11" ht="12.75" customHeight="1">
      <c r="A136" s="299"/>
      <c r="B136" s="300"/>
      <c r="C136" s="226"/>
      <c r="D136" s="257"/>
      <c r="E136" s="257"/>
      <c r="F136" s="257"/>
      <c r="G136" s="257"/>
      <c r="H136" s="366"/>
      <c r="I136" s="274"/>
      <c r="J136" s="274"/>
      <c r="K136" s="279"/>
    </row>
    <row r="137" spans="1:11" ht="12.75" customHeight="1">
      <c r="A137" s="299"/>
      <c r="B137" s="300"/>
      <c r="C137" s="226"/>
      <c r="D137" s="257"/>
      <c r="E137" s="257"/>
      <c r="F137" s="257"/>
      <c r="G137" s="257"/>
      <c r="H137" s="366"/>
      <c r="I137" s="274"/>
      <c r="J137" s="274"/>
      <c r="K137" s="279">
        <f>SUM(I137*6)</f>
        <v>0</v>
      </c>
    </row>
    <row r="138" spans="1:11" ht="12.75" customHeight="1">
      <c r="A138" s="299"/>
      <c r="B138" s="300"/>
      <c r="C138" s="259"/>
      <c r="D138" s="260"/>
      <c r="E138" s="260"/>
      <c r="F138" s="276"/>
      <c r="G138" s="276"/>
      <c r="H138" s="212"/>
      <c r="I138" s="136"/>
      <c r="J138" s="136"/>
      <c r="K138" s="142">
        <f>SUM(I138*1*12)</f>
        <v>0</v>
      </c>
    </row>
    <row r="139" spans="1:11" ht="15.75" customHeight="1">
      <c r="A139" s="299"/>
      <c r="B139" s="300"/>
      <c r="C139" s="226" t="s">
        <v>66</v>
      </c>
      <c r="D139" s="257">
        <v>2101</v>
      </c>
      <c r="E139" s="257">
        <v>2101</v>
      </c>
      <c r="F139" s="277">
        <f>E139-D139</f>
        <v>0</v>
      </c>
      <c r="G139" s="278">
        <f>F139*100/D139</f>
        <v>0</v>
      </c>
      <c r="H139" s="366" t="s">
        <v>61</v>
      </c>
      <c r="I139" s="274">
        <f>SUM(K116+K119+K122+K125+K128+K147+K148+K149)</f>
        <v>25206900</v>
      </c>
      <c r="J139" s="274" t="s">
        <v>59</v>
      </c>
      <c r="K139" s="279">
        <f>SUM(I139*1/12)</f>
        <v>2100575</v>
      </c>
    </row>
    <row r="140" spans="1:11" ht="12.75" customHeight="1">
      <c r="A140" s="299"/>
      <c r="B140" s="300"/>
      <c r="C140" s="259" t="s">
        <v>67</v>
      </c>
      <c r="D140" s="260"/>
      <c r="E140" s="260"/>
      <c r="F140" s="276"/>
      <c r="G140" s="276"/>
      <c r="H140" s="212"/>
      <c r="I140" s="136"/>
      <c r="J140" s="136"/>
      <c r="K140" s="142"/>
    </row>
    <row r="141" spans="1:11" ht="18" customHeight="1">
      <c r="A141" s="299"/>
      <c r="B141" s="300"/>
      <c r="C141" s="226" t="s">
        <v>68</v>
      </c>
      <c r="D141" s="257">
        <v>1989</v>
      </c>
      <c r="E141" s="257">
        <v>1989</v>
      </c>
      <c r="F141" s="277">
        <f>E141-D141</f>
        <v>0</v>
      </c>
      <c r="G141" s="278">
        <f>F141*100/D141</f>
        <v>0</v>
      </c>
      <c r="H141" s="263" t="s">
        <v>62</v>
      </c>
      <c r="I141" s="211"/>
      <c r="J141" s="211"/>
      <c r="K141" s="149">
        <f>SUM(K142+K143+K144+K145)</f>
        <v>1988824.4100000001</v>
      </c>
    </row>
    <row r="142" spans="1:11" ht="12.75" customHeight="1">
      <c r="A142" s="299"/>
      <c r="B142" s="300"/>
      <c r="C142" s="226"/>
      <c r="D142" s="257"/>
      <c r="E142" s="257"/>
      <c r="F142" s="222"/>
      <c r="G142" s="222"/>
      <c r="H142" s="374" t="s">
        <v>60</v>
      </c>
      <c r="I142" s="375">
        <v>25206900</v>
      </c>
      <c r="J142" s="375" t="s">
        <v>660</v>
      </c>
      <c r="K142" s="341">
        <f>SUM(I142*2.24%)</f>
        <v>564634.56</v>
      </c>
    </row>
    <row r="143" spans="1:11" ht="12.75" customHeight="1">
      <c r="A143" s="299"/>
      <c r="B143" s="300"/>
      <c r="C143" s="226"/>
      <c r="D143" s="257"/>
      <c r="E143" s="257"/>
      <c r="F143" s="222"/>
      <c r="G143" s="222"/>
      <c r="H143" s="366" t="s">
        <v>393</v>
      </c>
      <c r="I143" s="274">
        <v>25206900</v>
      </c>
      <c r="J143" s="274" t="s">
        <v>217</v>
      </c>
      <c r="K143" s="279">
        <f>SUM(I143*4.5%)</f>
        <v>1134310.5</v>
      </c>
    </row>
    <row r="144" spans="1:11" ht="12.75" customHeight="1">
      <c r="A144" s="299"/>
      <c r="B144" s="300"/>
      <c r="C144" s="226"/>
      <c r="D144" s="257"/>
      <c r="E144" s="257"/>
      <c r="F144" s="222"/>
      <c r="G144" s="222"/>
      <c r="H144" s="366" t="s">
        <v>394</v>
      </c>
      <c r="I144" s="274">
        <v>25206900</v>
      </c>
      <c r="J144" s="274" t="s">
        <v>532</v>
      </c>
      <c r="K144" s="279">
        <f>SUM(I144*0.7%)</f>
        <v>176448.3</v>
      </c>
    </row>
    <row r="145" spans="1:11" ht="12.75" customHeight="1">
      <c r="A145" s="299"/>
      <c r="B145" s="300"/>
      <c r="C145" s="259"/>
      <c r="D145" s="260"/>
      <c r="E145" s="260"/>
      <c r="F145" s="276"/>
      <c r="G145" s="276"/>
      <c r="H145" s="212" t="s">
        <v>213</v>
      </c>
      <c r="I145" s="136">
        <v>25206900</v>
      </c>
      <c r="J145" s="136" t="s">
        <v>664</v>
      </c>
      <c r="K145" s="142">
        <f>SUM(I145*0.45%)</f>
        <v>113431.05000000002</v>
      </c>
    </row>
    <row r="146" spans="1:11" ht="18" customHeight="1">
      <c r="A146" s="299"/>
      <c r="B146" s="300"/>
      <c r="C146" s="226" t="s">
        <v>69</v>
      </c>
      <c r="D146" s="257">
        <v>960</v>
      </c>
      <c r="E146" s="257">
        <v>960</v>
      </c>
      <c r="F146" s="277">
        <f>E146-D146</f>
        <v>0</v>
      </c>
      <c r="G146" s="278">
        <f>F146*100/D146</f>
        <v>0</v>
      </c>
      <c r="H146" s="263" t="s">
        <v>395</v>
      </c>
      <c r="I146" s="211"/>
      <c r="J146" s="211"/>
      <c r="K146" s="149">
        <f>SUM(K147+K148)</f>
        <v>960000</v>
      </c>
    </row>
    <row r="147" spans="1:11" ht="12.75" customHeight="1">
      <c r="A147" s="299"/>
      <c r="B147" s="300"/>
      <c r="C147" s="226"/>
      <c r="D147" s="257"/>
      <c r="E147" s="257"/>
      <c r="F147" s="222"/>
      <c r="G147" s="222"/>
      <c r="H147" s="374" t="s">
        <v>396</v>
      </c>
      <c r="I147" s="375">
        <v>50000</v>
      </c>
      <c r="J147" s="375" t="s">
        <v>56</v>
      </c>
      <c r="K147" s="341">
        <f>SUM(I147*1*12)</f>
        <v>600000</v>
      </c>
    </row>
    <row r="148" spans="1:11" ht="12.75" customHeight="1">
      <c r="A148" s="299"/>
      <c r="B148" s="300"/>
      <c r="C148" s="259"/>
      <c r="D148" s="260"/>
      <c r="E148" s="260"/>
      <c r="F148" s="276"/>
      <c r="G148" s="276"/>
      <c r="H148" s="212" t="s">
        <v>397</v>
      </c>
      <c r="I148" s="136">
        <v>30000</v>
      </c>
      <c r="J148" s="136" t="s">
        <v>56</v>
      </c>
      <c r="K148" s="142">
        <f>SUM(I148*1*12)</f>
        <v>360000</v>
      </c>
    </row>
    <row r="149" spans="1:11" ht="15" customHeight="1" thickBot="1">
      <c r="A149" s="301"/>
      <c r="B149" s="302"/>
      <c r="C149" s="229" t="s">
        <v>70</v>
      </c>
      <c r="D149" s="266">
        <v>1200</v>
      </c>
      <c r="E149" s="266">
        <v>1200</v>
      </c>
      <c r="F149" s="283">
        <f>E149-D149</f>
        <v>0</v>
      </c>
      <c r="G149" s="284">
        <f>F149*100/D149</f>
        <v>0</v>
      </c>
      <c r="H149" s="313" t="s">
        <v>63</v>
      </c>
      <c r="I149" s="285">
        <v>100000</v>
      </c>
      <c r="J149" s="285" t="s">
        <v>56</v>
      </c>
      <c r="K149" s="303">
        <f>SUM(I149*1*12)</f>
        <v>1200000</v>
      </c>
    </row>
    <row r="150" spans="1:11" ht="15" customHeight="1">
      <c r="A150" s="502" t="s">
        <v>5</v>
      </c>
      <c r="B150" s="504" t="s">
        <v>6</v>
      </c>
      <c r="C150" s="504" t="s">
        <v>7</v>
      </c>
      <c r="D150" s="504" t="s">
        <v>36</v>
      </c>
      <c r="E150" s="504" t="s">
        <v>986</v>
      </c>
      <c r="F150" s="544" t="s">
        <v>38</v>
      </c>
      <c r="G150" s="545"/>
      <c r="H150" s="538" t="s">
        <v>987</v>
      </c>
      <c r="I150" s="539"/>
      <c r="J150" s="539"/>
      <c r="K150" s="540"/>
    </row>
    <row r="151" spans="1:11" ht="14.25" customHeight="1" thickBot="1">
      <c r="A151" s="503"/>
      <c r="B151" s="505"/>
      <c r="C151" s="505"/>
      <c r="D151" s="505"/>
      <c r="E151" s="505"/>
      <c r="F151" s="269" t="s">
        <v>9</v>
      </c>
      <c r="G151" s="235" t="s">
        <v>40</v>
      </c>
      <c r="H151" s="541"/>
      <c r="I151" s="542"/>
      <c r="J151" s="542"/>
      <c r="K151" s="543"/>
    </row>
    <row r="152" spans="1:11" ht="18" customHeight="1" thickTop="1">
      <c r="A152" s="305" t="s">
        <v>41</v>
      </c>
      <c r="B152" s="219" t="s">
        <v>84</v>
      </c>
      <c r="C152" s="245" t="s">
        <v>13</v>
      </c>
      <c r="D152" s="246">
        <f>SUM(D153+D154+D155)</f>
        <v>7800</v>
      </c>
      <c r="E152" s="246">
        <f>SUM(E153+E154+E155)</f>
        <v>7800</v>
      </c>
      <c r="F152" s="247">
        <f aca="true" t="shared" si="1" ref="F152:F158">E152-D152</f>
        <v>0</v>
      </c>
      <c r="G152" s="248">
        <f aca="true" t="shared" si="2" ref="G152:G158">F152*100/D152</f>
        <v>0</v>
      </c>
      <c r="H152" s="249"/>
      <c r="I152" s="250"/>
      <c r="J152" s="250"/>
      <c r="K152" s="149">
        <f>SUM(K153+K154+K155)</f>
        <v>7800000</v>
      </c>
    </row>
    <row r="153" spans="1:11" ht="18" customHeight="1">
      <c r="A153" s="305"/>
      <c r="B153" s="252"/>
      <c r="C153" s="227" t="s">
        <v>401</v>
      </c>
      <c r="D153" s="306">
        <v>2400</v>
      </c>
      <c r="E153" s="306">
        <v>2400</v>
      </c>
      <c r="F153" s="247">
        <f t="shared" si="1"/>
        <v>0</v>
      </c>
      <c r="G153" s="248">
        <f t="shared" si="2"/>
        <v>0</v>
      </c>
      <c r="H153" s="263" t="s">
        <v>87</v>
      </c>
      <c r="I153" s="211">
        <v>200000</v>
      </c>
      <c r="J153" s="211" t="s">
        <v>49</v>
      </c>
      <c r="K153" s="149">
        <f>SUM(I153*12)</f>
        <v>2400000</v>
      </c>
    </row>
    <row r="154" spans="1:11" ht="18" customHeight="1">
      <c r="A154" s="305"/>
      <c r="B154" s="252"/>
      <c r="C154" s="227" t="s">
        <v>85</v>
      </c>
      <c r="D154" s="306">
        <v>3600</v>
      </c>
      <c r="E154" s="306">
        <v>3600</v>
      </c>
      <c r="F154" s="247">
        <f t="shared" si="1"/>
        <v>0</v>
      </c>
      <c r="G154" s="248">
        <f t="shared" si="2"/>
        <v>0</v>
      </c>
      <c r="H154" s="263" t="s">
        <v>88</v>
      </c>
      <c r="I154" s="211">
        <v>300000</v>
      </c>
      <c r="J154" s="211" t="s">
        <v>49</v>
      </c>
      <c r="K154" s="149">
        <f>SUM(I154*12)</f>
        <v>3600000</v>
      </c>
    </row>
    <row r="155" spans="1:11" ht="18" customHeight="1">
      <c r="A155" s="305"/>
      <c r="B155" s="307"/>
      <c r="C155" s="259" t="s">
        <v>86</v>
      </c>
      <c r="D155" s="260">
        <v>1800</v>
      </c>
      <c r="E155" s="260">
        <v>1800</v>
      </c>
      <c r="F155" s="247">
        <f t="shared" si="1"/>
        <v>0</v>
      </c>
      <c r="G155" s="248">
        <f t="shared" si="2"/>
        <v>0</v>
      </c>
      <c r="H155" s="212" t="s">
        <v>89</v>
      </c>
      <c r="I155" s="136">
        <v>150000</v>
      </c>
      <c r="J155" s="136" t="s">
        <v>49</v>
      </c>
      <c r="K155" s="142">
        <f>SUM(I155*12)</f>
        <v>1800000</v>
      </c>
    </row>
    <row r="156" spans="1:11" ht="15" customHeight="1">
      <c r="A156" s="305"/>
      <c r="B156" s="233" t="s">
        <v>90</v>
      </c>
      <c r="C156" s="245" t="s">
        <v>13</v>
      </c>
      <c r="D156" s="246">
        <f>SUM(D157+D158+D162+D169+D179)</f>
        <v>48500</v>
      </c>
      <c r="E156" s="246">
        <f>SUM(E157+E158+E162+E169+E179)</f>
        <v>50500</v>
      </c>
      <c r="F156" s="247">
        <f t="shared" si="1"/>
        <v>2000</v>
      </c>
      <c r="G156" s="248">
        <f t="shared" si="2"/>
        <v>4.123711340206185</v>
      </c>
      <c r="H156" s="249"/>
      <c r="I156" s="250"/>
      <c r="J156" s="250"/>
      <c r="K156" s="149">
        <f>SUM(K157+K158+K162+K169+K179)</f>
        <v>50499800</v>
      </c>
    </row>
    <row r="157" spans="1:11" ht="15" customHeight="1">
      <c r="A157" s="305"/>
      <c r="B157" s="252"/>
      <c r="C157" s="227" t="s">
        <v>16</v>
      </c>
      <c r="D157" s="306">
        <v>1000</v>
      </c>
      <c r="E157" s="306">
        <v>1000</v>
      </c>
      <c r="F157" s="247">
        <f t="shared" si="1"/>
        <v>0</v>
      </c>
      <c r="G157" s="248">
        <f t="shared" si="2"/>
        <v>0</v>
      </c>
      <c r="H157" s="263" t="s">
        <v>91</v>
      </c>
      <c r="I157" s="211">
        <v>100000</v>
      </c>
      <c r="J157" s="211" t="s">
        <v>94</v>
      </c>
      <c r="K157" s="149">
        <f>SUM(I157*10)</f>
        <v>1000000</v>
      </c>
    </row>
    <row r="158" spans="1:11" ht="15" customHeight="1">
      <c r="A158" s="305"/>
      <c r="B158" s="252"/>
      <c r="C158" s="226" t="s">
        <v>25</v>
      </c>
      <c r="D158" s="253">
        <v>15136</v>
      </c>
      <c r="E158" s="253">
        <v>17136</v>
      </c>
      <c r="F158" s="262">
        <f t="shared" si="1"/>
        <v>2000</v>
      </c>
      <c r="G158" s="256">
        <f t="shared" si="2"/>
        <v>13.213530655391121</v>
      </c>
      <c r="H158" s="362" t="s">
        <v>92</v>
      </c>
      <c r="I158" s="211"/>
      <c r="J158" s="211"/>
      <c r="K158" s="149">
        <f>SUM(K159+K160+K161)</f>
        <v>17136120</v>
      </c>
    </row>
    <row r="159" spans="1:11" ht="15" customHeight="1">
      <c r="A159" s="305"/>
      <c r="B159" s="252"/>
      <c r="C159" s="226"/>
      <c r="D159" s="257"/>
      <c r="E159" s="257"/>
      <c r="F159" s="222"/>
      <c r="G159" s="222"/>
      <c r="H159" s="374" t="s">
        <v>93</v>
      </c>
      <c r="I159" s="375">
        <v>413612</v>
      </c>
      <c r="J159" s="375" t="s">
        <v>94</v>
      </c>
      <c r="K159" s="341">
        <f>SUM(I159*10)</f>
        <v>4136120</v>
      </c>
    </row>
    <row r="160" spans="1:11" ht="15" customHeight="1">
      <c r="A160" s="305"/>
      <c r="B160" s="252"/>
      <c r="C160" s="226"/>
      <c r="D160" s="257"/>
      <c r="E160" s="257"/>
      <c r="F160" s="222"/>
      <c r="G160" s="222"/>
      <c r="H160" s="366" t="s">
        <v>95</v>
      </c>
      <c r="I160" s="274">
        <v>700000</v>
      </c>
      <c r="J160" s="274" t="s">
        <v>94</v>
      </c>
      <c r="K160" s="279">
        <f>SUM(I160*10)</f>
        <v>7000000</v>
      </c>
    </row>
    <row r="161" spans="1:11" ht="15" customHeight="1">
      <c r="A161" s="305"/>
      <c r="B161" s="252"/>
      <c r="C161" s="259"/>
      <c r="D161" s="260"/>
      <c r="E161" s="260"/>
      <c r="F161" s="276"/>
      <c r="G161" s="276"/>
      <c r="H161" s="212" t="s">
        <v>1002</v>
      </c>
      <c r="I161" s="136">
        <v>1000000</v>
      </c>
      <c r="J161" s="136" t="s">
        <v>724</v>
      </c>
      <c r="K161" s="142">
        <f>SUM(I161*6)</f>
        <v>6000000</v>
      </c>
    </row>
    <row r="162" spans="1:11" ht="15" customHeight="1">
      <c r="A162" s="305"/>
      <c r="B162" s="252"/>
      <c r="C162" s="226" t="s">
        <v>18</v>
      </c>
      <c r="D162" s="261">
        <v>14530</v>
      </c>
      <c r="E162" s="261">
        <v>14530</v>
      </c>
      <c r="F162" s="262">
        <f>E162-D162</f>
        <v>0</v>
      </c>
      <c r="G162" s="256">
        <f>F162*100/D162</f>
        <v>0</v>
      </c>
      <c r="H162" s="263" t="s">
        <v>105</v>
      </c>
      <c r="I162" s="211"/>
      <c r="J162" s="211"/>
      <c r="K162" s="149">
        <f>SUM(K163+K164+K165+K166+K167+K168)</f>
        <v>14530000</v>
      </c>
    </row>
    <row r="163" spans="1:11" ht="15" customHeight="1">
      <c r="A163" s="305"/>
      <c r="B163" s="252"/>
      <c r="C163" s="226"/>
      <c r="D163" s="257"/>
      <c r="E163" s="257"/>
      <c r="F163" s="222"/>
      <c r="G163" s="222"/>
      <c r="H163" s="431" t="s">
        <v>475</v>
      </c>
      <c r="I163" s="375">
        <v>100000</v>
      </c>
      <c r="J163" s="375" t="s">
        <v>102</v>
      </c>
      <c r="K163" s="341">
        <f>SUM(I163*1)</f>
        <v>100000</v>
      </c>
    </row>
    <row r="164" spans="1:11" ht="15" customHeight="1">
      <c r="A164" s="305"/>
      <c r="B164" s="252"/>
      <c r="C164" s="226"/>
      <c r="D164" s="257"/>
      <c r="E164" s="257"/>
      <c r="F164" s="222"/>
      <c r="G164" s="222"/>
      <c r="H164" s="366" t="s">
        <v>97</v>
      </c>
      <c r="I164" s="274">
        <v>450000</v>
      </c>
      <c r="J164" s="274" t="s">
        <v>49</v>
      </c>
      <c r="K164" s="279">
        <f>SUM(I164*12)</f>
        <v>5400000</v>
      </c>
    </row>
    <row r="165" spans="1:11" ht="15" customHeight="1">
      <c r="A165" s="305"/>
      <c r="B165" s="252"/>
      <c r="C165" s="226"/>
      <c r="D165" s="257"/>
      <c r="E165" s="257"/>
      <c r="F165" s="222"/>
      <c r="G165" s="222"/>
      <c r="H165" s="366" t="s">
        <v>98</v>
      </c>
      <c r="I165" s="274">
        <v>350000</v>
      </c>
      <c r="J165" s="274" t="s">
        <v>49</v>
      </c>
      <c r="K165" s="279">
        <f>SUM(I165*12)</f>
        <v>4200000</v>
      </c>
    </row>
    <row r="166" spans="1:11" ht="15" customHeight="1">
      <c r="A166" s="305"/>
      <c r="B166" s="252"/>
      <c r="C166" s="226"/>
      <c r="D166" s="257"/>
      <c r="E166" s="257"/>
      <c r="F166" s="222"/>
      <c r="G166" s="222"/>
      <c r="H166" s="366" t="s">
        <v>99</v>
      </c>
      <c r="I166" s="274">
        <v>50000</v>
      </c>
      <c r="J166" s="274" t="s">
        <v>49</v>
      </c>
      <c r="K166" s="279">
        <f>SUM(I166*12)</f>
        <v>600000</v>
      </c>
    </row>
    <row r="167" spans="1:11" ht="15" customHeight="1">
      <c r="A167" s="305"/>
      <c r="B167" s="252"/>
      <c r="C167" s="226"/>
      <c r="D167" s="257"/>
      <c r="E167" s="257"/>
      <c r="F167" s="222"/>
      <c r="G167" s="222"/>
      <c r="H167" s="366" t="s">
        <v>100</v>
      </c>
      <c r="I167" s="274">
        <v>350000</v>
      </c>
      <c r="J167" s="274" t="s">
        <v>49</v>
      </c>
      <c r="K167" s="279">
        <f>SUM(I167*12)</f>
        <v>4200000</v>
      </c>
    </row>
    <row r="168" spans="1:11" ht="15" customHeight="1">
      <c r="A168" s="305"/>
      <c r="B168" s="252"/>
      <c r="C168" s="259"/>
      <c r="D168" s="260"/>
      <c r="E168" s="260"/>
      <c r="F168" s="276"/>
      <c r="G168" s="276"/>
      <c r="H168" s="212" t="s">
        <v>101</v>
      </c>
      <c r="I168" s="136">
        <v>30000</v>
      </c>
      <c r="J168" s="136" t="s">
        <v>102</v>
      </c>
      <c r="K168" s="142">
        <f>SUM(I168*1)</f>
        <v>30000</v>
      </c>
    </row>
    <row r="169" spans="1:11" ht="15" customHeight="1">
      <c r="A169" s="305"/>
      <c r="B169" s="252"/>
      <c r="C169" s="226" t="s">
        <v>20</v>
      </c>
      <c r="D169" s="261">
        <v>5534</v>
      </c>
      <c r="E169" s="261">
        <v>5534</v>
      </c>
      <c r="F169" s="262">
        <f>E169-D169</f>
        <v>0</v>
      </c>
      <c r="G169" s="256">
        <f>F169*100/D169</f>
        <v>0</v>
      </c>
      <c r="H169" s="263" t="s">
        <v>103</v>
      </c>
      <c r="I169" s="211"/>
      <c r="J169" s="211"/>
      <c r="K169" s="149">
        <f>SUM(K170+K171+K172+K173+K174+K175+K176+K177+K178)</f>
        <v>5533680</v>
      </c>
    </row>
    <row r="170" spans="1:11" ht="15" customHeight="1">
      <c r="A170" s="305"/>
      <c r="B170" s="252"/>
      <c r="C170" s="226"/>
      <c r="D170" s="257"/>
      <c r="E170" s="257"/>
      <c r="F170" s="222"/>
      <c r="G170" s="222"/>
      <c r="H170" s="428" t="s">
        <v>476</v>
      </c>
      <c r="I170" s="375">
        <v>500000</v>
      </c>
      <c r="J170" s="375" t="s">
        <v>104</v>
      </c>
      <c r="K170" s="341">
        <f>SUM(I170*1)</f>
        <v>500000</v>
      </c>
    </row>
    <row r="171" spans="1:11" ht="15" customHeight="1">
      <c r="A171" s="305"/>
      <c r="B171" s="252"/>
      <c r="C171" s="226"/>
      <c r="D171" s="257"/>
      <c r="E171" s="257"/>
      <c r="F171" s="222"/>
      <c r="G171" s="222"/>
      <c r="H171" s="429" t="s">
        <v>477</v>
      </c>
      <c r="I171" s="274">
        <v>20000</v>
      </c>
      <c r="J171" s="274" t="s">
        <v>49</v>
      </c>
      <c r="K171" s="279">
        <f>SUM(I171*12)</f>
        <v>240000</v>
      </c>
    </row>
    <row r="172" spans="1:11" ht="15" customHeight="1">
      <c r="A172" s="305"/>
      <c r="B172" s="252"/>
      <c r="C172" s="226"/>
      <c r="D172" s="257"/>
      <c r="E172" s="257"/>
      <c r="F172" s="222"/>
      <c r="G172" s="222"/>
      <c r="H172" s="429" t="s">
        <v>478</v>
      </c>
      <c r="I172" s="274">
        <v>50000</v>
      </c>
      <c r="J172" s="274" t="s">
        <v>49</v>
      </c>
      <c r="K172" s="279">
        <f>SUM(I172*12)</f>
        <v>600000</v>
      </c>
    </row>
    <row r="173" spans="1:11" ht="15" customHeight="1">
      <c r="A173" s="305"/>
      <c r="B173" s="252"/>
      <c r="C173" s="226"/>
      <c r="D173" s="257"/>
      <c r="E173" s="257"/>
      <c r="F173" s="222"/>
      <c r="G173" s="222"/>
      <c r="H173" s="429" t="s">
        <v>479</v>
      </c>
      <c r="I173" s="274">
        <v>100000</v>
      </c>
      <c r="J173" s="274" t="s">
        <v>49</v>
      </c>
      <c r="K173" s="279">
        <f>SUM(I173*12)</f>
        <v>1200000</v>
      </c>
    </row>
    <row r="174" spans="1:11" ht="15" customHeight="1">
      <c r="A174" s="305"/>
      <c r="B174" s="252"/>
      <c r="C174" s="226"/>
      <c r="D174" s="257"/>
      <c r="E174" s="257"/>
      <c r="F174" s="222"/>
      <c r="G174" s="222"/>
      <c r="H174" s="429" t="s">
        <v>480</v>
      </c>
      <c r="I174" s="274">
        <v>200000</v>
      </c>
      <c r="J174" s="274" t="s">
        <v>104</v>
      </c>
      <c r="K174" s="279">
        <f>SUM(I174*1)</f>
        <v>200000</v>
      </c>
    </row>
    <row r="175" spans="1:11" ht="15" customHeight="1">
      <c r="A175" s="305"/>
      <c r="B175" s="252"/>
      <c r="C175" s="226"/>
      <c r="D175" s="257"/>
      <c r="E175" s="257"/>
      <c r="F175" s="222"/>
      <c r="G175" s="222"/>
      <c r="H175" s="366" t="s">
        <v>107</v>
      </c>
      <c r="I175" s="274">
        <v>197200</v>
      </c>
      <c r="J175" s="274" t="s">
        <v>403</v>
      </c>
      <c r="K175" s="279">
        <f>SUM(I175*2)</f>
        <v>394400</v>
      </c>
    </row>
    <row r="176" spans="1:11" ht="15" customHeight="1">
      <c r="A176" s="305"/>
      <c r="B176" s="252"/>
      <c r="C176" s="226"/>
      <c r="D176" s="257"/>
      <c r="E176" s="257"/>
      <c r="F176" s="222"/>
      <c r="G176" s="222"/>
      <c r="H176" s="366" t="s">
        <v>404</v>
      </c>
      <c r="I176" s="274">
        <v>124940</v>
      </c>
      <c r="J176" s="274" t="s">
        <v>49</v>
      </c>
      <c r="K176" s="279">
        <f>SUM(I176*12)</f>
        <v>1499280</v>
      </c>
    </row>
    <row r="177" spans="1:11" ht="15" customHeight="1">
      <c r="A177" s="305"/>
      <c r="B177" s="252"/>
      <c r="C177" s="226"/>
      <c r="D177" s="257"/>
      <c r="E177" s="257"/>
      <c r="F177" s="222"/>
      <c r="G177" s="222"/>
      <c r="H177" s="366" t="s">
        <v>405</v>
      </c>
      <c r="I177" s="274">
        <v>800000</v>
      </c>
      <c r="J177" s="274" t="s">
        <v>104</v>
      </c>
      <c r="K177" s="279">
        <f>SUM(I177*1)</f>
        <v>800000</v>
      </c>
    </row>
    <row r="178" spans="1:11" ht="15" customHeight="1">
      <c r="A178" s="305"/>
      <c r="B178" s="252"/>
      <c r="C178" s="259"/>
      <c r="D178" s="260"/>
      <c r="E178" s="260"/>
      <c r="F178" s="276"/>
      <c r="G178" s="276"/>
      <c r="H178" s="212" t="s">
        <v>180</v>
      </c>
      <c r="I178" s="136">
        <v>100000</v>
      </c>
      <c r="J178" s="136" t="s">
        <v>104</v>
      </c>
      <c r="K178" s="142">
        <f>SUM(I178*1)</f>
        <v>100000</v>
      </c>
    </row>
    <row r="179" spans="1:11" ht="15" customHeight="1">
      <c r="A179" s="305"/>
      <c r="B179" s="252"/>
      <c r="C179" s="226" t="s">
        <v>406</v>
      </c>
      <c r="D179" s="253">
        <v>12300</v>
      </c>
      <c r="E179" s="253">
        <v>12300</v>
      </c>
      <c r="F179" s="262">
        <f>E179-D179</f>
        <v>0</v>
      </c>
      <c r="G179" s="256">
        <f>F179*100/D179</f>
        <v>0</v>
      </c>
      <c r="H179" s="362" t="s">
        <v>481</v>
      </c>
      <c r="I179" s="211"/>
      <c r="J179" s="211"/>
      <c r="K179" s="149">
        <f>SUM(K180+K181+K182)</f>
        <v>12300000</v>
      </c>
    </row>
    <row r="180" spans="1:11" ht="15" customHeight="1">
      <c r="A180" s="305"/>
      <c r="B180" s="252"/>
      <c r="C180" s="226"/>
      <c r="D180" s="257"/>
      <c r="E180" s="257"/>
      <c r="F180" s="222"/>
      <c r="G180" s="222"/>
      <c r="H180" s="374" t="s">
        <v>408</v>
      </c>
      <c r="I180" s="375">
        <v>2500000</v>
      </c>
      <c r="J180" s="375" t="s">
        <v>104</v>
      </c>
      <c r="K180" s="341">
        <f>SUM(I180*1)</f>
        <v>2500000</v>
      </c>
    </row>
    <row r="181" spans="1:11" ht="15" customHeight="1">
      <c r="A181" s="305"/>
      <c r="B181" s="252"/>
      <c r="C181" s="226"/>
      <c r="D181" s="257"/>
      <c r="E181" s="257"/>
      <c r="F181" s="222"/>
      <c r="G181" s="222"/>
      <c r="H181" s="366" t="s">
        <v>409</v>
      </c>
      <c r="I181" s="274">
        <v>150000</v>
      </c>
      <c r="J181" s="274" t="s">
        <v>49</v>
      </c>
      <c r="K181" s="279">
        <f>SUM(I181*12)</f>
        <v>1800000</v>
      </c>
    </row>
    <row r="182" spans="1:11" ht="15" customHeight="1">
      <c r="A182" s="299"/>
      <c r="B182" s="307"/>
      <c r="C182" s="259"/>
      <c r="D182" s="260"/>
      <c r="E182" s="260"/>
      <c r="F182" s="276"/>
      <c r="G182" s="276"/>
      <c r="H182" s="212" t="s">
        <v>410</v>
      </c>
      <c r="I182" s="136">
        <v>8000000</v>
      </c>
      <c r="J182" s="136" t="s">
        <v>104</v>
      </c>
      <c r="K182" s="142">
        <f>SUM(I182*1)</f>
        <v>8000000</v>
      </c>
    </row>
    <row r="183" spans="1:11" ht="18.75" customHeight="1">
      <c r="A183" s="305"/>
      <c r="B183" s="233" t="s">
        <v>753</v>
      </c>
      <c r="C183" s="307" t="s">
        <v>13</v>
      </c>
      <c r="D183" s="310">
        <f>SUM(D184)</f>
        <v>474</v>
      </c>
      <c r="E183" s="310">
        <f>SUM(E184)</f>
        <v>474</v>
      </c>
      <c r="F183" s="311">
        <f>E183-D183</f>
        <v>0</v>
      </c>
      <c r="G183" s="241">
        <v>0</v>
      </c>
      <c r="H183" s="242"/>
      <c r="I183" s="312"/>
      <c r="J183" s="312"/>
      <c r="K183" s="142">
        <f>SUM(K184)</f>
        <v>474436</v>
      </c>
    </row>
    <row r="184" spans="1:11" ht="18.75" customHeight="1" thickBot="1">
      <c r="A184" s="489"/>
      <c r="B184" s="265"/>
      <c r="C184" s="490" t="s">
        <v>25</v>
      </c>
      <c r="D184" s="491">
        <v>474</v>
      </c>
      <c r="E184" s="491">
        <v>474</v>
      </c>
      <c r="F184" s="492">
        <f>E184-D184</f>
        <v>0</v>
      </c>
      <c r="G184" s="333">
        <v>0</v>
      </c>
      <c r="H184" s="493" t="s">
        <v>92</v>
      </c>
      <c r="I184" s="286"/>
      <c r="J184" s="286"/>
      <c r="K184" s="287">
        <v>474436</v>
      </c>
    </row>
    <row r="185" spans="1:11" ht="13.5">
      <c r="A185" s="502" t="s">
        <v>5</v>
      </c>
      <c r="B185" s="504" t="s">
        <v>6</v>
      </c>
      <c r="C185" s="504" t="s">
        <v>7</v>
      </c>
      <c r="D185" s="504" t="s">
        <v>36</v>
      </c>
      <c r="E185" s="504" t="s">
        <v>986</v>
      </c>
      <c r="F185" s="544" t="s">
        <v>38</v>
      </c>
      <c r="G185" s="545"/>
      <c r="H185" s="538" t="s">
        <v>987</v>
      </c>
      <c r="I185" s="539"/>
      <c r="J185" s="539"/>
      <c r="K185" s="540"/>
    </row>
    <row r="186" spans="1:11" ht="14.25" thickBot="1">
      <c r="A186" s="503"/>
      <c r="B186" s="505"/>
      <c r="C186" s="505"/>
      <c r="D186" s="505"/>
      <c r="E186" s="505"/>
      <c r="F186" s="269" t="s">
        <v>9</v>
      </c>
      <c r="G186" s="235" t="s">
        <v>40</v>
      </c>
      <c r="H186" s="541"/>
      <c r="I186" s="542"/>
      <c r="J186" s="542"/>
      <c r="K186" s="543"/>
    </row>
    <row r="187" spans="1:11" ht="13.5" customHeight="1" thickTop="1">
      <c r="A187" s="319"/>
      <c r="B187" s="233" t="s">
        <v>106</v>
      </c>
      <c r="C187" s="307" t="s">
        <v>13</v>
      </c>
      <c r="D187" s="310">
        <f>SUM(D188+D189)</f>
        <v>1537</v>
      </c>
      <c r="E187" s="310">
        <f>SUM(E188+E189)</f>
        <v>1537</v>
      </c>
      <c r="F187" s="311">
        <f>E187-D187</f>
        <v>0</v>
      </c>
      <c r="G187" s="241">
        <f>F187*100/D187</f>
        <v>0</v>
      </c>
      <c r="H187" s="242"/>
      <c r="I187" s="312"/>
      <c r="J187" s="312"/>
      <c r="K187" s="142">
        <f>SUM(K188+K189)</f>
        <v>1537200</v>
      </c>
    </row>
    <row r="188" spans="1:11" ht="13.5" customHeight="1">
      <c r="A188" s="319"/>
      <c r="B188" s="252"/>
      <c r="C188" s="227" t="s">
        <v>25</v>
      </c>
      <c r="D188" s="306">
        <v>0</v>
      </c>
      <c r="E188" s="306">
        <v>0</v>
      </c>
      <c r="F188" s="247">
        <f>E188-D188</f>
        <v>0</v>
      </c>
      <c r="G188" s="248">
        <v>0</v>
      </c>
      <c r="H188" s="362" t="s">
        <v>92</v>
      </c>
      <c r="I188" s="211"/>
      <c r="J188" s="211"/>
      <c r="K188" s="149">
        <v>0</v>
      </c>
    </row>
    <row r="189" spans="1:11" ht="13.5" customHeight="1">
      <c r="A189" s="319"/>
      <c r="B189" s="252"/>
      <c r="C189" s="226" t="s">
        <v>20</v>
      </c>
      <c r="D189" s="257">
        <v>1537</v>
      </c>
      <c r="E189" s="257">
        <v>1537</v>
      </c>
      <c r="F189" s="277">
        <f>E189-D189</f>
        <v>0</v>
      </c>
      <c r="G189" s="278">
        <v>0</v>
      </c>
      <c r="H189" s="374" t="s">
        <v>103</v>
      </c>
      <c r="I189" s="375"/>
      <c r="J189" s="375"/>
      <c r="K189" s="341">
        <f>SUM(K190+K191+K192+K193+K194)</f>
        <v>1537200</v>
      </c>
    </row>
    <row r="190" spans="1:11" ht="13.5" customHeight="1">
      <c r="A190" s="319"/>
      <c r="B190" s="252"/>
      <c r="C190" s="226"/>
      <c r="D190" s="257"/>
      <c r="E190" s="257"/>
      <c r="F190" s="222"/>
      <c r="G190" s="222"/>
      <c r="H190" s="366" t="s">
        <v>411</v>
      </c>
      <c r="I190" s="274">
        <v>643240</v>
      </c>
      <c r="J190" s="274" t="s">
        <v>104</v>
      </c>
      <c r="K190" s="279">
        <f>SUM(I190*1)</f>
        <v>643240</v>
      </c>
    </row>
    <row r="191" spans="1:11" ht="13.5" customHeight="1">
      <c r="A191" s="319"/>
      <c r="B191" s="252"/>
      <c r="C191" s="226"/>
      <c r="D191" s="257"/>
      <c r="E191" s="257"/>
      <c r="F191" s="222"/>
      <c r="G191" s="222"/>
      <c r="H191" s="366" t="s">
        <v>107</v>
      </c>
      <c r="I191" s="274"/>
      <c r="J191" s="274"/>
      <c r="K191" s="279">
        <v>118290</v>
      </c>
    </row>
    <row r="192" spans="1:11" ht="13.5" customHeight="1">
      <c r="A192" s="319"/>
      <c r="B192" s="252"/>
      <c r="C192" s="226"/>
      <c r="D192" s="257"/>
      <c r="E192" s="257"/>
      <c r="F192" s="222"/>
      <c r="G192" s="222"/>
      <c r="H192" s="366" t="s">
        <v>412</v>
      </c>
      <c r="I192" s="274">
        <v>55570</v>
      </c>
      <c r="J192" s="274" t="s">
        <v>104</v>
      </c>
      <c r="K192" s="279">
        <f>SUM(I192*1)</f>
        <v>55570</v>
      </c>
    </row>
    <row r="193" spans="1:11" ht="13.5" customHeight="1">
      <c r="A193" s="319"/>
      <c r="B193" s="252"/>
      <c r="C193" s="226"/>
      <c r="D193" s="257"/>
      <c r="E193" s="257"/>
      <c r="F193" s="222"/>
      <c r="G193" s="222"/>
      <c r="H193" s="366" t="s">
        <v>413</v>
      </c>
      <c r="I193" s="274">
        <v>44175</v>
      </c>
      <c r="J193" s="274" t="s">
        <v>49</v>
      </c>
      <c r="K193" s="279">
        <f>SUM(I193*12)</f>
        <v>530100</v>
      </c>
    </row>
    <row r="194" spans="1:11" ht="13.5" customHeight="1">
      <c r="A194" s="463"/>
      <c r="B194" s="307"/>
      <c r="C194" s="259"/>
      <c r="D194" s="260"/>
      <c r="E194" s="260"/>
      <c r="F194" s="276"/>
      <c r="G194" s="276"/>
      <c r="H194" s="212" t="s">
        <v>414</v>
      </c>
      <c r="I194" s="136">
        <v>190000</v>
      </c>
      <c r="J194" s="136" t="s">
        <v>104</v>
      </c>
      <c r="K194" s="142">
        <f>SUM(I194*1)</f>
        <v>190000</v>
      </c>
    </row>
    <row r="195" spans="1:11" ht="13.5" customHeight="1">
      <c r="A195" s="305" t="s">
        <v>415</v>
      </c>
      <c r="B195" s="233" t="s">
        <v>26</v>
      </c>
      <c r="C195" s="307" t="s">
        <v>13</v>
      </c>
      <c r="D195" s="310">
        <f>SUM(D196+D198+D199)</f>
        <v>8980</v>
      </c>
      <c r="E195" s="310">
        <f>SUM(E196+E198+E199)</f>
        <v>45681</v>
      </c>
      <c r="F195" s="311">
        <f aca="true" t="shared" si="3" ref="F195:F205">E195-D195</f>
        <v>36701</v>
      </c>
      <c r="G195" s="241">
        <f>F195*100/D195</f>
        <v>408.6971046770601</v>
      </c>
      <c r="H195" s="242"/>
      <c r="I195" s="312"/>
      <c r="J195" s="312"/>
      <c r="K195" s="142">
        <f>SUM(K196:K199)</f>
        <v>45681000</v>
      </c>
    </row>
    <row r="196" spans="1:11" ht="11.25" customHeight="1">
      <c r="A196" s="305" t="s">
        <v>108</v>
      </c>
      <c r="B196" s="252"/>
      <c r="C196" s="230" t="s">
        <v>27</v>
      </c>
      <c r="D196" s="253">
        <v>6680</v>
      </c>
      <c r="E196" s="253">
        <v>42316</v>
      </c>
      <c r="F196" s="262">
        <f t="shared" si="3"/>
        <v>35636</v>
      </c>
      <c r="G196" s="256">
        <f>F196*100/D196</f>
        <v>533.4730538922156</v>
      </c>
      <c r="H196" s="431" t="s">
        <v>1005</v>
      </c>
      <c r="I196" s="375"/>
      <c r="J196" s="375"/>
      <c r="K196" s="341">
        <v>10845700</v>
      </c>
    </row>
    <row r="197" spans="1:11" ht="13.5" customHeight="1">
      <c r="A197" s="305"/>
      <c r="B197" s="252"/>
      <c r="C197" s="259"/>
      <c r="D197" s="260"/>
      <c r="E197" s="260"/>
      <c r="F197" s="311"/>
      <c r="G197" s="241"/>
      <c r="H197" s="198" t="s">
        <v>1008</v>
      </c>
      <c r="I197" s="136"/>
      <c r="J197" s="136"/>
      <c r="K197" s="142">
        <v>31470000</v>
      </c>
    </row>
    <row r="198" spans="1:11" ht="13.5" customHeight="1">
      <c r="A198" s="305"/>
      <c r="B198" s="252"/>
      <c r="C198" s="227" t="s">
        <v>28</v>
      </c>
      <c r="D198" s="306">
        <v>500</v>
      </c>
      <c r="E198" s="306">
        <v>1915</v>
      </c>
      <c r="F198" s="247">
        <f t="shared" si="3"/>
        <v>1415</v>
      </c>
      <c r="G198" s="248">
        <v>0</v>
      </c>
      <c r="H198" s="263" t="s">
        <v>109</v>
      </c>
      <c r="I198" s="364" t="s">
        <v>999</v>
      </c>
      <c r="J198" s="211"/>
      <c r="K198" s="149">
        <v>1915300</v>
      </c>
    </row>
    <row r="199" spans="1:11" ht="13.5" customHeight="1">
      <c r="A199" s="464"/>
      <c r="B199" s="307"/>
      <c r="C199" s="259" t="s">
        <v>29</v>
      </c>
      <c r="D199" s="260">
        <v>1800</v>
      </c>
      <c r="E199" s="260">
        <v>1450</v>
      </c>
      <c r="F199" s="247">
        <f t="shared" si="3"/>
        <v>-350</v>
      </c>
      <c r="G199" s="248">
        <f aca="true" t="shared" si="4" ref="G199:G204">F199*100/D199</f>
        <v>-19.444444444444443</v>
      </c>
      <c r="H199" s="263" t="s">
        <v>110</v>
      </c>
      <c r="I199" s="211">
        <v>150000</v>
      </c>
      <c r="J199" s="211" t="s">
        <v>49</v>
      </c>
      <c r="K199" s="149">
        <v>1450000</v>
      </c>
    </row>
    <row r="200" spans="1:11" ht="13.5" customHeight="1">
      <c r="A200" s="238" t="s">
        <v>111</v>
      </c>
      <c r="B200" s="550" t="s">
        <v>11</v>
      </c>
      <c r="C200" s="551"/>
      <c r="D200" s="137">
        <f>SUM(D201+D203+D317+D332+D341)</f>
        <v>164748</v>
      </c>
      <c r="E200" s="137">
        <f>SUM(E201+E203+E317+E332+E341)</f>
        <v>178908</v>
      </c>
      <c r="F200" s="240">
        <f t="shared" si="3"/>
        <v>14160</v>
      </c>
      <c r="G200" s="241">
        <f t="shared" si="4"/>
        <v>8.594945006919659</v>
      </c>
      <c r="H200" s="242"/>
      <c r="I200" s="243"/>
      <c r="J200" s="243"/>
      <c r="K200" s="142">
        <f>SUM(K201+K203+K317+K332+K341)</f>
        <v>178908501</v>
      </c>
    </row>
    <row r="201" spans="1:11" ht="13.5" customHeight="1">
      <c r="A201" s="244"/>
      <c r="B201" s="219" t="s">
        <v>416</v>
      </c>
      <c r="C201" s="245" t="s">
        <v>13</v>
      </c>
      <c r="D201" s="203">
        <f>SUM(D202)</f>
        <v>4000</v>
      </c>
      <c r="E201" s="203">
        <f>SUM(E202)</f>
        <v>4000</v>
      </c>
      <c r="F201" s="315">
        <f t="shared" si="3"/>
        <v>0</v>
      </c>
      <c r="G201" s="248">
        <f t="shared" si="4"/>
        <v>0</v>
      </c>
      <c r="H201" s="316"/>
      <c r="I201" s="250"/>
      <c r="J201" s="312"/>
      <c r="K201" s="149">
        <f>SUM(K202)</f>
        <v>4000000</v>
      </c>
    </row>
    <row r="202" spans="1:11" ht="13.5" customHeight="1">
      <c r="A202" s="251"/>
      <c r="B202" s="252"/>
      <c r="C202" s="227" t="s">
        <v>417</v>
      </c>
      <c r="D202" s="137">
        <v>4000</v>
      </c>
      <c r="E202" s="137">
        <v>4000</v>
      </c>
      <c r="F202" s="317">
        <f t="shared" si="3"/>
        <v>0</v>
      </c>
      <c r="G202" s="318">
        <f t="shared" si="4"/>
        <v>0</v>
      </c>
      <c r="H202" s="263" t="s">
        <v>112</v>
      </c>
      <c r="I202" s="211">
        <v>1000000</v>
      </c>
      <c r="J202" s="211" t="s">
        <v>96</v>
      </c>
      <c r="K202" s="149">
        <f>SUM(I202*4)</f>
        <v>4000000</v>
      </c>
    </row>
    <row r="203" spans="1:11" ht="13.5" customHeight="1">
      <c r="A203" s="319"/>
      <c r="B203" s="320" t="s">
        <v>113</v>
      </c>
      <c r="C203" s="321" t="s">
        <v>13</v>
      </c>
      <c r="D203" s="203">
        <f>SUM(D204+D229+D249+D285+D309)</f>
        <v>51920</v>
      </c>
      <c r="E203" s="203">
        <f>SUM(E204+E229+E249+E285+E309)</f>
        <v>55620</v>
      </c>
      <c r="F203" s="315">
        <f t="shared" si="3"/>
        <v>3700</v>
      </c>
      <c r="G203" s="248">
        <f t="shared" si="4"/>
        <v>7.126348228043144</v>
      </c>
      <c r="H203" s="242"/>
      <c r="I203" s="250"/>
      <c r="J203" s="250"/>
      <c r="K203" s="149">
        <f>SUM(K204+K229+K249+K285+K309)</f>
        <v>55620000</v>
      </c>
    </row>
    <row r="204" spans="1:11" ht="13.5" customHeight="1">
      <c r="A204" s="319"/>
      <c r="B204" s="552" t="s">
        <v>114</v>
      </c>
      <c r="C204" s="549"/>
      <c r="D204" s="203">
        <f>SUM(D205:D226)</f>
        <v>8000</v>
      </c>
      <c r="E204" s="203">
        <f>SUM(E205:E226)</f>
        <v>8000</v>
      </c>
      <c r="F204" s="317">
        <f t="shared" si="3"/>
        <v>0</v>
      </c>
      <c r="G204" s="248">
        <f t="shared" si="4"/>
        <v>0</v>
      </c>
      <c r="H204" s="263" t="s">
        <v>115</v>
      </c>
      <c r="I204" s="211"/>
      <c r="J204" s="211"/>
      <c r="K204" s="149">
        <f>SUM(K205+K206+K207+K208+K216+K219+K220+K221+K222+K223+K224+K225+K226)</f>
        <v>8000000</v>
      </c>
    </row>
    <row r="205" spans="1:11" ht="13.5" customHeight="1">
      <c r="A205" s="251"/>
      <c r="B205" s="233" t="s">
        <v>116</v>
      </c>
      <c r="C205" s="227" t="s">
        <v>117</v>
      </c>
      <c r="D205" s="306">
        <v>0</v>
      </c>
      <c r="E205" s="306">
        <v>0</v>
      </c>
      <c r="F205" s="322">
        <f t="shared" si="3"/>
        <v>0</v>
      </c>
      <c r="G205" s="248">
        <v>0</v>
      </c>
      <c r="H205" s="263"/>
      <c r="I205" s="211"/>
      <c r="J205" s="211"/>
      <c r="K205" s="149"/>
    </row>
    <row r="206" spans="1:11" ht="13.5" customHeight="1">
      <c r="A206" s="251"/>
      <c r="B206" s="233"/>
      <c r="C206" s="227" t="s">
        <v>118</v>
      </c>
      <c r="D206" s="306">
        <v>100</v>
      </c>
      <c r="E206" s="306">
        <v>100</v>
      </c>
      <c r="F206" s="322">
        <f>E206-D206</f>
        <v>0</v>
      </c>
      <c r="G206" s="248">
        <v>0</v>
      </c>
      <c r="H206" s="362" t="s">
        <v>482</v>
      </c>
      <c r="I206" s="211">
        <v>50000</v>
      </c>
      <c r="J206" s="211" t="s">
        <v>121</v>
      </c>
      <c r="K206" s="149">
        <f>SUM(I206*2)</f>
        <v>100000</v>
      </c>
    </row>
    <row r="207" spans="1:11" ht="13.5" customHeight="1">
      <c r="A207" s="251"/>
      <c r="B207" s="323"/>
      <c r="C207" s="226" t="s">
        <v>119</v>
      </c>
      <c r="D207" s="257">
        <v>60</v>
      </c>
      <c r="E207" s="257">
        <v>60</v>
      </c>
      <c r="F207" s="255">
        <f>E207-D207</f>
        <v>0</v>
      </c>
      <c r="G207" s="256">
        <v>0</v>
      </c>
      <c r="H207" s="198" t="s">
        <v>122</v>
      </c>
      <c r="I207" s="136">
        <v>3000</v>
      </c>
      <c r="J207" s="136" t="s">
        <v>123</v>
      </c>
      <c r="K207" s="142">
        <f>SUM(I207*20)</f>
        <v>60000</v>
      </c>
    </row>
    <row r="208" spans="1:11" ht="12.75" customHeight="1">
      <c r="A208" s="251"/>
      <c r="B208" s="324" t="s">
        <v>418</v>
      </c>
      <c r="C208" s="230" t="s">
        <v>419</v>
      </c>
      <c r="D208" s="253">
        <v>7040</v>
      </c>
      <c r="E208" s="253">
        <v>7040</v>
      </c>
      <c r="F208" s="262">
        <f>E208-D208</f>
        <v>0</v>
      </c>
      <c r="G208" s="256">
        <f>F208*100/D208</f>
        <v>0</v>
      </c>
      <c r="H208" s="362" t="s">
        <v>469</v>
      </c>
      <c r="I208" s="211"/>
      <c r="J208" s="211"/>
      <c r="K208" s="149">
        <f>SUM(K209:K215)</f>
        <v>7040000</v>
      </c>
    </row>
    <row r="209" spans="1:11" ht="12" customHeight="1">
      <c r="A209" s="251"/>
      <c r="B209" s="324"/>
      <c r="C209" s="226"/>
      <c r="D209" s="257"/>
      <c r="E209" s="257"/>
      <c r="F209" s="277"/>
      <c r="G209" s="278"/>
      <c r="H209" s="374" t="s">
        <v>197</v>
      </c>
      <c r="I209" s="375">
        <v>45000</v>
      </c>
      <c r="J209" s="375" t="s">
        <v>121</v>
      </c>
      <c r="K209" s="341">
        <f>SUM(I209*2)</f>
        <v>90000</v>
      </c>
    </row>
    <row r="210" spans="1:11" ht="12" customHeight="1">
      <c r="A210" s="251"/>
      <c r="B210" s="324"/>
      <c r="C210" s="226"/>
      <c r="D210" s="257"/>
      <c r="E210" s="257"/>
      <c r="F210" s="277"/>
      <c r="G210" s="278"/>
      <c r="H210" s="366" t="s">
        <v>196</v>
      </c>
      <c r="I210" s="274">
        <v>90000</v>
      </c>
      <c r="J210" s="274" t="s">
        <v>49</v>
      </c>
      <c r="K210" s="279">
        <f>SUM(I210*12)</f>
        <v>1080000</v>
      </c>
    </row>
    <row r="211" spans="1:11" ht="12" customHeight="1">
      <c r="A211" s="251"/>
      <c r="B211" s="324"/>
      <c r="C211" s="226"/>
      <c r="D211" s="257"/>
      <c r="E211" s="257"/>
      <c r="F211" s="277"/>
      <c r="G211" s="278"/>
      <c r="H211" s="366" t="s">
        <v>420</v>
      </c>
      <c r="I211" s="274">
        <v>100000</v>
      </c>
      <c r="J211" s="274" t="s">
        <v>720</v>
      </c>
      <c r="K211" s="279">
        <f>SUM(I211*5)</f>
        <v>500000</v>
      </c>
    </row>
    <row r="212" spans="1:11" ht="12" customHeight="1">
      <c r="A212" s="251"/>
      <c r="B212" s="324"/>
      <c r="C212" s="226"/>
      <c r="D212" s="257"/>
      <c r="E212" s="257"/>
      <c r="F212" s="277"/>
      <c r="G212" s="278"/>
      <c r="H212" s="366" t="s">
        <v>721</v>
      </c>
      <c r="I212" s="274">
        <v>140000</v>
      </c>
      <c r="J212" s="274" t="s">
        <v>121</v>
      </c>
      <c r="K212" s="279">
        <f>SUM(I212*2)</f>
        <v>280000</v>
      </c>
    </row>
    <row r="213" spans="1:11" ht="12" customHeight="1">
      <c r="A213" s="251"/>
      <c r="B213" s="324"/>
      <c r="C213" s="226"/>
      <c r="D213" s="257"/>
      <c r="E213" s="257"/>
      <c r="F213" s="277"/>
      <c r="G213" s="278"/>
      <c r="H213" s="366" t="s">
        <v>722</v>
      </c>
      <c r="I213" s="274">
        <v>50000</v>
      </c>
      <c r="J213" s="274" t="s">
        <v>104</v>
      </c>
      <c r="K213" s="279">
        <f>SUM(I213*1)</f>
        <v>50000</v>
      </c>
    </row>
    <row r="214" spans="1:11" ht="12" customHeight="1">
      <c r="A214" s="251"/>
      <c r="B214" s="324"/>
      <c r="C214" s="226"/>
      <c r="D214" s="257"/>
      <c r="E214" s="257"/>
      <c r="F214" s="277"/>
      <c r="G214" s="278"/>
      <c r="H214" s="366" t="s">
        <v>723</v>
      </c>
      <c r="I214" s="274">
        <v>40000</v>
      </c>
      <c r="J214" s="274" t="s">
        <v>724</v>
      </c>
      <c r="K214" s="279">
        <f>SUM(I214*6)</f>
        <v>240000</v>
      </c>
    </row>
    <row r="215" spans="1:11" ht="12" customHeight="1">
      <c r="A215" s="251"/>
      <c r="B215" s="324"/>
      <c r="C215" s="226"/>
      <c r="D215" s="260"/>
      <c r="E215" s="260"/>
      <c r="F215" s="277"/>
      <c r="G215" s="278"/>
      <c r="H215" s="212" t="s">
        <v>421</v>
      </c>
      <c r="I215" s="136">
        <v>400000</v>
      </c>
      <c r="J215" s="136" t="s">
        <v>49</v>
      </c>
      <c r="K215" s="142">
        <f>SUM(I215*12)</f>
        <v>4800000</v>
      </c>
    </row>
    <row r="216" spans="1:11" ht="12.75" customHeight="1">
      <c r="A216" s="251"/>
      <c r="B216" s="324"/>
      <c r="C216" s="230" t="s">
        <v>422</v>
      </c>
      <c r="D216" s="325">
        <v>300</v>
      </c>
      <c r="E216" s="325">
        <v>300</v>
      </c>
      <c r="F216" s="326">
        <f>E216-D216</f>
        <v>0</v>
      </c>
      <c r="G216" s="327">
        <f>F216*100/D216</f>
        <v>0</v>
      </c>
      <c r="H216" s="263" t="s">
        <v>423</v>
      </c>
      <c r="I216" s="211"/>
      <c r="J216" s="211"/>
      <c r="K216" s="149">
        <f>SUM(K217:K218)</f>
        <v>300000</v>
      </c>
    </row>
    <row r="217" spans="1:11" ht="12.75" customHeight="1">
      <c r="A217" s="251"/>
      <c r="B217" s="324"/>
      <c r="C217" s="226"/>
      <c r="D217" s="257"/>
      <c r="E217" s="257"/>
      <c r="F217" s="277"/>
      <c r="G217" s="328"/>
      <c r="H217" s="374" t="s">
        <v>197</v>
      </c>
      <c r="I217" s="375">
        <v>30000</v>
      </c>
      <c r="J217" s="375" t="s">
        <v>121</v>
      </c>
      <c r="K217" s="341">
        <f>SUM(I217*2)</f>
        <v>60000</v>
      </c>
    </row>
    <row r="218" spans="1:11" ht="12.75" customHeight="1">
      <c r="A218" s="251"/>
      <c r="B218" s="324"/>
      <c r="C218" s="259"/>
      <c r="D218" s="260"/>
      <c r="E218" s="260"/>
      <c r="F218" s="311"/>
      <c r="G218" s="329"/>
      <c r="H218" s="212" t="s">
        <v>196</v>
      </c>
      <c r="I218" s="136">
        <v>20000</v>
      </c>
      <c r="J218" s="136" t="s">
        <v>49</v>
      </c>
      <c r="K218" s="142">
        <f>SUM(I218*12)</f>
        <v>240000</v>
      </c>
    </row>
    <row r="219" spans="1:11" ht="12.75" customHeight="1">
      <c r="A219" s="251"/>
      <c r="B219" s="233"/>
      <c r="C219" s="259" t="s">
        <v>727</v>
      </c>
      <c r="D219" s="260">
        <v>60</v>
      </c>
      <c r="E219" s="260">
        <v>60</v>
      </c>
      <c r="F219" s="330">
        <f aca="true" t="shared" si="5" ref="F219:F226">E219-D219</f>
        <v>0</v>
      </c>
      <c r="G219" s="241">
        <v>0</v>
      </c>
      <c r="H219" s="369" t="s">
        <v>728</v>
      </c>
      <c r="I219" s="211">
        <v>30000</v>
      </c>
      <c r="J219" s="211" t="s">
        <v>121</v>
      </c>
      <c r="K219" s="149">
        <f>SUM(I219*2)</f>
        <v>60000</v>
      </c>
    </row>
    <row r="220" spans="1:11" ht="12.75" customHeight="1">
      <c r="A220" s="251"/>
      <c r="B220" s="233"/>
      <c r="C220" s="227" t="s">
        <v>424</v>
      </c>
      <c r="D220" s="306">
        <v>140</v>
      </c>
      <c r="E220" s="306">
        <v>140</v>
      </c>
      <c r="F220" s="322">
        <f t="shared" si="5"/>
        <v>0</v>
      </c>
      <c r="G220" s="248">
        <f>F220*100/D220</f>
        <v>0</v>
      </c>
      <c r="H220" s="198" t="s">
        <v>124</v>
      </c>
      <c r="I220" s="211">
        <v>140000</v>
      </c>
      <c r="J220" s="211" t="s">
        <v>104</v>
      </c>
      <c r="K220" s="149">
        <f>SUM(I220*1)</f>
        <v>140000</v>
      </c>
    </row>
    <row r="221" spans="1:11" ht="12.75" customHeight="1">
      <c r="A221" s="251"/>
      <c r="B221" s="323"/>
      <c r="C221" s="227" t="s">
        <v>725</v>
      </c>
      <c r="D221" s="306">
        <v>0</v>
      </c>
      <c r="E221" s="306">
        <v>0</v>
      </c>
      <c r="F221" s="322">
        <f t="shared" si="5"/>
        <v>0</v>
      </c>
      <c r="G221" s="248">
        <v>0</v>
      </c>
      <c r="H221" s="198" t="s">
        <v>726</v>
      </c>
      <c r="I221" s="211"/>
      <c r="J221" s="211"/>
      <c r="K221" s="149"/>
    </row>
    <row r="222" spans="1:11" ht="12.75" customHeight="1">
      <c r="A222" s="251"/>
      <c r="B222" s="233" t="s">
        <v>425</v>
      </c>
      <c r="C222" s="227" t="s">
        <v>729</v>
      </c>
      <c r="D222" s="306">
        <v>0</v>
      </c>
      <c r="E222" s="306">
        <v>0</v>
      </c>
      <c r="F222" s="322">
        <f t="shared" si="5"/>
        <v>0</v>
      </c>
      <c r="G222" s="248">
        <v>0</v>
      </c>
      <c r="H222" s="263"/>
      <c r="I222" s="211"/>
      <c r="J222" s="211"/>
      <c r="K222" s="149"/>
    </row>
    <row r="223" spans="1:11" ht="12.75" customHeight="1">
      <c r="A223" s="251"/>
      <c r="B223" s="233"/>
      <c r="C223" s="227" t="s">
        <v>426</v>
      </c>
      <c r="D223" s="306">
        <v>150</v>
      </c>
      <c r="E223" s="306">
        <v>150</v>
      </c>
      <c r="F223" s="322">
        <f t="shared" si="5"/>
        <v>0</v>
      </c>
      <c r="G223" s="248">
        <v>0</v>
      </c>
      <c r="H223" s="263" t="s">
        <v>427</v>
      </c>
      <c r="I223" s="211">
        <v>50000</v>
      </c>
      <c r="J223" s="211" t="s">
        <v>428</v>
      </c>
      <c r="K223" s="149">
        <f>SUM(I223*3)</f>
        <v>150000</v>
      </c>
    </row>
    <row r="224" spans="1:11" ht="12.75" customHeight="1">
      <c r="A224" s="251"/>
      <c r="B224" s="323"/>
      <c r="C224" s="227" t="s">
        <v>730</v>
      </c>
      <c r="D224" s="306">
        <v>0</v>
      </c>
      <c r="E224" s="306">
        <v>0</v>
      </c>
      <c r="F224" s="322">
        <f t="shared" si="5"/>
        <v>0</v>
      </c>
      <c r="G224" s="248">
        <v>0</v>
      </c>
      <c r="H224" s="212"/>
      <c r="I224" s="136"/>
      <c r="J224" s="136"/>
      <c r="K224" s="142"/>
    </row>
    <row r="225" spans="1:11" ht="12.75" customHeight="1">
      <c r="A225" s="251"/>
      <c r="B225" s="219" t="s">
        <v>120</v>
      </c>
      <c r="C225" s="227" t="s">
        <v>429</v>
      </c>
      <c r="D225" s="306">
        <v>100</v>
      </c>
      <c r="E225" s="306">
        <v>100</v>
      </c>
      <c r="F225" s="322">
        <f t="shared" si="5"/>
        <v>0</v>
      </c>
      <c r="G225" s="248">
        <v>0</v>
      </c>
      <c r="H225" s="263" t="s">
        <v>430</v>
      </c>
      <c r="I225" s="211">
        <v>50000</v>
      </c>
      <c r="J225" s="211" t="s">
        <v>121</v>
      </c>
      <c r="K225" s="149">
        <f>SUM(I225*2)</f>
        <v>100000</v>
      </c>
    </row>
    <row r="226" spans="1:11" ht="12.75" customHeight="1" thickBot="1">
      <c r="A226" s="264"/>
      <c r="B226" s="331"/>
      <c r="C226" s="468" t="s">
        <v>836</v>
      </c>
      <c r="D226" s="266">
        <v>50</v>
      </c>
      <c r="E226" s="266">
        <v>50</v>
      </c>
      <c r="F226" s="339">
        <f t="shared" si="5"/>
        <v>0</v>
      </c>
      <c r="G226" s="284"/>
      <c r="H226" s="313" t="s">
        <v>837</v>
      </c>
      <c r="I226" s="285">
        <v>50000</v>
      </c>
      <c r="J226" s="285" t="s">
        <v>104</v>
      </c>
      <c r="K226" s="303">
        <f>SUM(I226*1)</f>
        <v>50000</v>
      </c>
    </row>
    <row r="227" spans="1:11" ht="19.5" customHeight="1">
      <c r="A227" s="502" t="s">
        <v>5</v>
      </c>
      <c r="B227" s="504" t="s">
        <v>6</v>
      </c>
      <c r="C227" s="504" t="s">
        <v>7</v>
      </c>
      <c r="D227" s="504" t="s">
        <v>36</v>
      </c>
      <c r="E227" s="504" t="s">
        <v>986</v>
      </c>
      <c r="F227" s="544" t="s">
        <v>38</v>
      </c>
      <c r="G227" s="545"/>
      <c r="H227" s="538" t="s">
        <v>987</v>
      </c>
      <c r="I227" s="539"/>
      <c r="J227" s="539"/>
      <c r="K227" s="540"/>
    </row>
    <row r="228" spans="1:11" ht="19.5" customHeight="1" thickBot="1">
      <c r="A228" s="503"/>
      <c r="B228" s="505"/>
      <c r="C228" s="505"/>
      <c r="D228" s="505"/>
      <c r="E228" s="505"/>
      <c r="F228" s="269" t="s">
        <v>9</v>
      </c>
      <c r="G228" s="235" t="s">
        <v>40</v>
      </c>
      <c r="H228" s="541"/>
      <c r="I228" s="542"/>
      <c r="J228" s="542"/>
      <c r="K228" s="543"/>
    </row>
    <row r="229" spans="1:11" ht="33" customHeight="1" thickTop="1">
      <c r="A229" s="270" t="s">
        <v>111</v>
      </c>
      <c r="B229" s="548" t="s">
        <v>149</v>
      </c>
      <c r="C229" s="549"/>
      <c r="D229" s="334">
        <f>SUM(D230:D245)</f>
        <v>1000</v>
      </c>
      <c r="E229" s="334">
        <f>SUM(E230:E245)</f>
        <v>3000</v>
      </c>
      <c r="F229" s="335">
        <f>E229-D229</f>
        <v>2000</v>
      </c>
      <c r="G229" s="336">
        <v>0</v>
      </c>
      <c r="H229" s="365" t="s">
        <v>131</v>
      </c>
      <c r="I229" s="211"/>
      <c r="J229" s="211"/>
      <c r="K229" s="149">
        <f>SUM(K230:K245)</f>
        <v>3000000</v>
      </c>
    </row>
    <row r="230" spans="1:11" ht="30.75" customHeight="1">
      <c r="A230" s="251"/>
      <c r="B230" s="233" t="s">
        <v>125</v>
      </c>
      <c r="C230" s="227" t="s">
        <v>126</v>
      </c>
      <c r="D230" s="306">
        <v>500</v>
      </c>
      <c r="E230" s="306">
        <v>500</v>
      </c>
      <c r="F230" s="247">
        <f>E230-D230</f>
        <v>0</v>
      </c>
      <c r="G230" s="248">
        <v>0</v>
      </c>
      <c r="H230" s="263" t="s">
        <v>128</v>
      </c>
      <c r="I230" s="211"/>
      <c r="J230" s="211"/>
      <c r="K230" s="149">
        <v>500000</v>
      </c>
    </row>
    <row r="231" spans="1:11" ht="30.75" customHeight="1">
      <c r="A231" s="251"/>
      <c r="B231" s="323"/>
      <c r="C231" s="227" t="s">
        <v>127</v>
      </c>
      <c r="D231" s="306">
        <v>500</v>
      </c>
      <c r="E231" s="306">
        <v>500</v>
      </c>
      <c r="F231" s="311">
        <f>E231-D231</f>
        <v>0</v>
      </c>
      <c r="G231" s="241">
        <v>0</v>
      </c>
      <c r="H231" s="263" t="s">
        <v>129</v>
      </c>
      <c r="I231" s="211"/>
      <c r="J231" s="211"/>
      <c r="K231" s="149">
        <v>500000</v>
      </c>
    </row>
    <row r="232" spans="1:11" ht="27" customHeight="1">
      <c r="A232" s="251"/>
      <c r="B232" s="324" t="s">
        <v>431</v>
      </c>
      <c r="C232" s="227" t="s">
        <v>132</v>
      </c>
      <c r="D232" s="306">
        <v>0</v>
      </c>
      <c r="E232" s="306">
        <v>0</v>
      </c>
      <c r="F232" s="311">
        <f aca="true" t="shared" si="6" ref="F232:F244">E232-D232</f>
        <v>0</v>
      </c>
      <c r="G232" s="241">
        <v>0</v>
      </c>
      <c r="H232" s="263" t="s">
        <v>135</v>
      </c>
      <c r="I232" s="211"/>
      <c r="J232" s="211"/>
      <c r="K232" s="149"/>
    </row>
    <row r="233" spans="1:11" ht="27" customHeight="1">
      <c r="A233" s="251"/>
      <c r="B233" s="324"/>
      <c r="C233" s="227" t="s">
        <v>133</v>
      </c>
      <c r="D233" s="306">
        <v>0</v>
      </c>
      <c r="E233" s="306">
        <v>0</v>
      </c>
      <c r="F233" s="311">
        <f t="shared" si="6"/>
        <v>0</v>
      </c>
      <c r="G233" s="241">
        <v>0</v>
      </c>
      <c r="H233" s="263" t="s">
        <v>136</v>
      </c>
      <c r="I233" s="211"/>
      <c r="J233" s="211"/>
      <c r="K233" s="149"/>
    </row>
    <row r="234" spans="1:11" ht="27" customHeight="1">
      <c r="A234" s="251"/>
      <c r="B234" s="338"/>
      <c r="C234" s="227" t="s">
        <v>134</v>
      </c>
      <c r="D234" s="306">
        <v>0</v>
      </c>
      <c r="E234" s="306">
        <v>0</v>
      </c>
      <c r="F234" s="311">
        <f t="shared" si="6"/>
        <v>0</v>
      </c>
      <c r="G234" s="241">
        <v>0</v>
      </c>
      <c r="H234" s="263" t="s">
        <v>137</v>
      </c>
      <c r="I234" s="136"/>
      <c r="J234" s="136"/>
      <c r="K234" s="142"/>
    </row>
    <row r="235" spans="1:11" ht="27.75" customHeight="1">
      <c r="A235" s="251"/>
      <c r="B235" s="324" t="s">
        <v>138</v>
      </c>
      <c r="C235" s="488" t="s">
        <v>1017</v>
      </c>
      <c r="D235" s="306">
        <v>0</v>
      </c>
      <c r="E235" s="306">
        <v>2000</v>
      </c>
      <c r="F235" s="311">
        <f t="shared" si="6"/>
        <v>2000</v>
      </c>
      <c r="G235" s="241">
        <v>0</v>
      </c>
      <c r="H235" s="369" t="s">
        <v>1016</v>
      </c>
      <c r="I235" s="211"/>
      <c r="J235" s="211"/>
      <c r="K235" s="149">
        <v>2000000</v>
      </c>
    </row>
    <row r="236" spans="1:11" ht="27.75" customHeight="1">
      <c r="A236" s="251"/>
      <c r="B236" s="324"/>
      <c r="C236" s="227" t="s">
        <v>139</v>
      </c>
      <c r="D236" s="306">
        <v>0</v>
      </c>
      <c r="E236" s="306">
        <v>0</v>
      </c>
      <c r="F236" s="311">
        <f t="shared" si="6"/>
        <v>0</v>
      </c>
      <c r="G236" s="241">
        <v>0</v>
      </c>
      <c r="H236" s="263" t="s">
        <v>139</v>
      </c>
      <c r="I236" s="211"/>
      <c r="J236" s="211"/>
      <c r="K236" s="149"/>
    </row>
    <row r="237" spans="1:11" ht="27.75" customHeight="1">
      <c r="A237" s="251"/>
      <c r="B237" s="324"/>
      <c r="C237" s="227" t="s">
        <v>141</v>
      </c>
      <c r="D237" s="306">
        <v>0</v>
      </c>
      <c r="E237" s="306">
        <v>0</v>
      </c>
      <c r="F237" s="311">
        <f t="shared" si="6"/>
        <v>0</v>
      </c>
      <c r="G237" s="241">
        <v>0</v>
      </c>
      <c r="H237" s="263" t="s">
        <v>141</v>
      </c>
      <c r="I237" s="211"/>
      <c r="J237" s="211"/>
      <c r="K237" s="149"/>
    </row>
    <row r="238" spans="1:11" ht="27.75" customHeight="1">
      <c r="A238" s="251"/>
      <c r="B238" s="324"/>
      <c r="C238" s="227" t="s">
        <v>140</v>
      </c>
      <c r="D238" s="306">
        <v>0</v>
      </c>
      <c r="E238" s="306">
        <v>0</v>
      </c>
      <c r="F238" s="311">
        <f t="shared" si="6"/>
        <v>0</v>
      </c>
      <c r="G238" s="241">
        <v>0</v>
      </c>
      <c r="H238" s="263" t="s">
        <v>140</v>
      </c>
      <c r="I238" s="136"/>
      <c r="J238" s="136"/>
      <c r="K238" s="142"/>
    </row>
    <row r="239" spans="1:11" ht="27.75" customHeight="1">
      <c r="A239" s="251"/>
      <c r="B239" s="338"/>
      <c r="C239" s="227" t="s">
        <v>432</v>
      </c>
      <c r="D239" s="306">
        <v>0</v>
      </c>
      <c r="E239" s="306">
        <v>0</v>
      </c>
      <c r="F239" s="311">
        <f t="shared" si="6"/>
        <v>0</v>
      </c>
      <c r="G239" s="241">
        <v>0</v>
      </c>
      <c r="H239" s="263" t="s">
        <v>432</v>
      </c>
      <c r="I239" s="211"/>
      <c r="J239" s="211"/>
      <c r="K239" s="149"/>
    </row>
    <row r="240" spans="1:11" ht="27.75" customHeight="1">
      <c r="A240" s="251"/>
      <c r="B240" s="324" t="s">
        <v>142</v>
      </c>
      <c r="C240" s="227" t="s">
        <v>143</v>
      </c>
      <c r="D240" s="306">
        <v>0</v>
      </c>
      <c r="E240" s="306">
        <v>0</v>
      </c>
      <c r="F240" s="311">
        <f t="shared" si="6"/>
        <v>0</v>
      </c>
      <c r="G240" s="241">
        <v>0</v>
      </c>
      <c r="H240" s="263" t="s">
        <v>143</v>
      </c>
      <c r="I240" s="211"/>
      <c r="J240" s="211"/>
      <c r="K240" s="149"/>
    </row>
    <row r="241" spans="1:11" ht="27.75" customHeight="1">
      <c r="A241" s="251"/>
      <c r="B241" s="324"/>
      <c r="C241" s="227" t="s">
        <v>731</v>
      </c>
      <c r="D241" s="306">
        <v>0</v>
      </c>
      <c r="E241" s="306">
        <v>0</v>
      </c>
      <c r="F241" s="311">
        <f t="shared" si="6"/>
        <v>0</v>
      </c>
      <c r="G241" s="241">
        <v>0</v>
      </c>
      <c r="H241" s="263" t="s">
        <v>144</v>
      </c>
      <c r="I241" s="136"/>
      <c r="J241" s="136"/>
      <c r="K241" s="142"/>
    </row>
    <row r="242" spans="1:11" ht="27.75" customHeight="1">
      <c r="A242" s="251"/>
      <c r="B242" s="233"/>
      <c r="C242" s="227" t="s">
        <v>145</v>
      </c>
      <c r="D242" s="306">
        <v>0</v>
      </c>
      <c r="E242" s="306">
        <v>0</v>
      </c>
      <c r="F242" s="311">
        <f t="shared" si="6"/>
        <v>0</v>
      </c>
      <c r="G242" s="241">
        <v>0</v>
      </c>
      <c r="H242" s="263" t="s">
        <v>145</v>
      </c>
      <c r="I242" s="211"/>
      <c r="J242" s="211"/>
      <c r="K242" s="149"/>
    </row>
    <row r="243" spans="1:11" ht="27.75" customHeight="1">
      <c r="A243" s="251"/>
      <c r="B243" s="323"/>
      <c r="C243" s="227" t="s">
        <v>433</v>
      </c>
      <c r="D243" s="306">
        <v>0</v>
      </c>
      <c r="E243" s="306">
        <v>0</v>
      </c>
      <c r="F243" s="311">
        <f t="shared" si="6"/>
        <v>0</v>
      </c>
      <c r="G243" s="241">
        <v>0</v>
      </c>
      <c r="H243" s="263" t="s">
        <v>433</v>
      </c>
      <c r="I243" s="211"/>
      <c r="J243" s="211"/>
      <c r="K243" s="149"/>
    </row>
    <row r="244" spans="1:11" ht="32.25" customHeight="1">
      <c r="A244" s="251"/>
      <c r="B244" s="320" t="s">
        <v>146</v>
      </c>
      <c r="C244" s="227" t="s">
        <v>147</v>
      </c>
      <c r="D244" s="306">
        <v>0</v>
      </c>
      <c r="E244" s="306">
        <v>0</v>
      </c>
      <c r="F244" s="311">
        <f t="shared" si="6"/>
        <v>0</v>
      </c>
      <c r="G244" s="241">
        <v>0</v>
      </c>
      <c r="H244" s="263" t="s">
        <v>147</v>
      </c>
      <c r="I244" s="211"/>
      <c r="J244" s="211"/>
      <c r="K244" s="149"/>
    </row>
    <row r="245" spans="1:11" ht="32.25" customHeight="1" thickBot="1">
      <c r="A245" s="264"/>
      <c r="B245" s="331" t="s">
        <v>148</v>
      </c>
      <c r="C245" s="229" t="s">
        <v>434</v>
      </c>
      <c r="D245" s="266">
        <v>0</v>
      </c>
      <c r="E245" s="266">
        <v>0</v>
      </c>
      <c r="F245" s="339">
        <f>E245-D245</f>
        <v>0</v>
      </c>
      <c r="G245" s="284">
        <v>0</v>
      </c>
      <c r="H245" s="313" t="s">
        <v>130</v>
      </c>
      <c r="I245" s="285"/>
      <c r="J245" s="285"/>
      <c r="K245" s="303"/>
    </row>
    <row r="246" spans="1:11" ht="14.25" thickBot="1">
      <c r="A246" s="340"/>
      <c r="B246" s="340"/>
      <c r="C246" s="340"/>
      <c r="D246" s="340"/>
      <c r="E246" s="340"/>
      <c r="F246" s="340"/>
      <c r="G246" s="340"/>
      <c r="H246" s="340"/>
      <c r="I246" s="340"/>
      <c r="J246" s="340"/>
      <c r="K246" s="340"/>
    </row>
    <row r="247" spans="1:11" ht="13.5">
      <c r="A247" s="502" t="s">
        <v>5</v>
      </c>
      <c r="B247" s="504" t="s">
        <v>6</v>
      </c>
      <c r="C247" s="504" t="s">
        <v>7</v>
      </c>
      <c r="D247" s="504" t="s">
        <v>36</v>
      </c>
      <c r="E247" s="504" t="s">
        <v>986</v>
      </c>
      <c r="F247" s="544" t="s">
        <v>38</v>
      </c>
      <c r="G247" s="545"/>
      <c r="H247" s="538" t="s">
        <v>987</v>
      </c>
      <c r="I247" s="539"/>
      <c r="J247" s="539"/>
      <c r="K247" s="540"/>
    </row>
    <row r="248" spans="1:11" ht="14.25" thickBot="1">
      <c r="A248" s="503"/>
      <c r="B248" s="505"/>
      <c r="C248" s="505"/>
      <c r="D248" s="505"/>
      <c r="E248" s="505"/>
      <c r="F248" s="269" t="s">
        <v>9</v>
      </c>
      <c r="G248" s="235" t="s">
        <v>40</v>
      </c>
      <c r="H248" s="541"/>
      <c r="I248" s="542"/>
      <c r="J248" s="542"/>
      <c r="K248" s="543"/>
    </row>
    <row r="249" spans="1:11" ht="18.75" customHeight="1" thickTop="1">
      <c r="A249" s="270" t="s">
        <v>111</v>
      </c>
      <c r="B249" s="548" t="s">
        <v>150</v>
      </c>
      <c r="C249" s="549"/>
      <c r="D249" s="334">
        <f>SUM(D250:D282)</f>
        <v>31740</v>
      </c>
      <c r="E249" s="334">
        <f>SUM(E250:E282)</f>
        <v>32440</v>
      </c>
      <c r="F249" s="322">
        <f aca="true" t="shared" si="7" ref="F249:F277">E249-D249</f>
        <v>700</v>
      </c>
      <c r="G249" s="248">
        <f>F249*100/D249</f>
        <v>2.205419029615627</v>
      </c>
      <c r="H249" s="365" t="s">
        <v>155</v>
      </c>
      <c r="I249" s="273"/>
      <c r="J249" s="211"/>
      <c r="K249" s="149">
        <f>SUM(K250:K282)</f>
        <v>32440000</v>
      </c>
    </row>
    <row r="250" spans="1:11" ht="15.75" customHeight="1">
      <c r="A250" s="251"/>
      <c r="B250" s="219" t="s">
        <v>151</v>
      </c>
      <c r="C250" s="227" t="s">
        <v>156</v>
      </c>
      <c r="D250" s="306">
        <v>400</v>
      </c>
      <c r="E250" s="306">
        <v>400</v>
      </c>
      <c r="F250" s="322">
        <f t="shared" si="7"/>
        <v>0</v>
      </c>
      <c r="G250" s="248">
        <f>F250*100/D250</f>
        <v>0</v>
      </c>
      <c r="H250" s="362" t="s">
        <v>484</v>
      </c>
      <c r="I250" s="211">
        <v>200000</v>
      </c>
      <c r="J250" s="211" t="s">
        <v>158</v>
      </c>
      <c r="K250" s="149">
        <f>SUM(I250*2)</f>
        <v>400000</v>
      </c>
    </row>
    <row r="251" spans="1:11" ht="15.75" customHeight="1">
      <c r="A251" s="251"/>
      <c r="B251" s="233" t="s">
        <v>152</v>
      </c>
      <c r="C251" s="227" t="s">
        <v>153</v>
      </c>
      <c r="D251" s="306">
        <v>200</v>
      </c>
      <c r="E251" s="306">
        <v>200</v>
      </c>
      <c r="F251" s="322">
        <f t="shared" si="7"/>
        <v>0</v>
      </c>
      <c r="G251" s="248">
        <f>F251*100/D251</f>
        <v>0</v>
      </c>
      <c r="H251" s="263" t="s">
        <v>435</v>
      </c>
      <c r="I251" s="211">
        <v>100000</v>
      </c>
      <c r="J251" s="211" t="s">
        <v>121</v>
      </c>
      <c r="K251" s="149">
        <f>SUM(I251*2)</f>
        <v>200000</v>
      </c>
    </row>
    <row r="252" spans="1:11" ht="15.75" customHeight="1">
      <c r="A252" s="251"/>
      <c r="B252" s="324"/>
      <c r="C252" s="227" t="s">
        <v>154</v>
      </c>
      <c r="D252" s="306">
        <v>600</v>
      </c>
      <c r="E252" s="306">
        <v>600</v>
      </c>
      <c r="F252" s="322">
        <f t="shared" si="7"/>
        <v>0</v>
      </c>
      <c r="G252" s="248">
        <v>0</v>
      </c>
      <c r="H252" s="263" t="s">
        <v>157</v>
      </c>
      <c r="I252" s="211">
        <v>100000</v>
      </c>
      <c r="J252" s="211" t="s">
        <v>724</v>
      </c>
      <c r="K252" s="149">
        <f>SUM(I252*6)</f>
        <v>600000</v>
      </c>
    </row>
    <row r="253" spans="1:11" ht="15.75" customHeight="1">
      <c r="A253" s="251"/>
      <c r="B253" s="338"/>
      <c r="C253" s="227" t="s">
        <v>436</v>
      </c>
      <c r="D253" s="306">
        <v>2000</v>
      </c>
      <c r="E253" s="306">
        <v>2000</v>
      </c>
      <c r="F253" s="322">
        <f t="shared" si="7"/>
        <v>0</v>
      </c>
      <c r="G253" s="248">
        <v>0</v>
      </c>
      <c r="H253" s="362" t="s">
        <v>483</v>
      </c>
      <c r="I253" s="211">
        <v>2000000</v>
      </c>
      <c r="J253" s="211" t="s">
        <v>104</v>
      </c>
      <c r="K253" s="149">
        <f>SUM(I253*1)</f>
        <v>2000000</v>
      </c>
    </row>
    <row r="254" spans="1:11" ht="15" customHeight="1">
      <c r="A254" s="251"/>
      <c r="B254" s="219" t="s">
        <v>437</v>
      </c>
      <c r="C254" s="227" t="s">
        <v>733</v>
      </c>
      <c r="D254" s="306">
        <v>200</v>
      </c>
      <c r="E254" s="306">
        <v>200</v>
      </c>
      <c r="F254" s="322">
        <f t="shared" si="7"/>
        <v>0</v>
      </c>
      <c r="G254" s="248">
        <v>0</v>
      </c>
      <c r="H254" s="369" t="s">
        <v>733</v>
      </c>
      <c r="I254" s="136">
        <v>100000</v>
      </c>
      <c r="J254" s="211" t="s">
        <v>158</v>
      </c>
      <c r="K254" s="149">
        <f>SUM(I254*2)</f>
        <v>200000</v>
      </c>
    </row>
    <row r="255" spans="1:11" ht="15" customHeight="1">
      <c r="A255" s="251"/>
      <c r="B255" s="233" t="s">
        <v>439</v>
      </c>
      <c r="C255" s="227" t="s">
        <v>734</v>
      </c>
      <c r="D255" s="306">
        <v>300</v>
      </c>
      <c r="E255" s="306">
        <v>300</v>
      </c>
      <c r="F255" s="322">
        <f t="shared" si="7"/>
        <v>0</v>
      </c>
      <c r="G255" s="248">
        <v>0</v>
      </c>
      <c r="H255" s="369" t="s">
        <v>734</v>
      </c>
      <c r="I255" s="211">
        <v>150000</v>
      </c>
      <c r="J255" s="211" t="s">
        <v>121</v>
      </c>
      <c r="K255" s="149">
        <f>SUM(I255*2)</f>
        <v>300000</v>
      </c>
    </row>
    <row r="256" spans="1:11" ht="15" customHeight="1">
      <c r="A256" s="251"/>
      <c r="B256" s="233"/>
      <c r="C256" s="227" t="s">
        <v>754</v>
      </c>
      <c r="D256" s="306">
        <v>1000</v>
      </c>
      <c r="E256" s="306">
        <v>1000</v>
      </c>
      <c r="F256" s="322">
        <f t="shared" si="7"/>
        <v>0</v>
      </c>
      <c r="G256" s="248">
        <v>0</v>
      </c>
      <c r="H256" s="263" t="s">
        <v>438</v>
      </c>
      <c r="I256" s="136">
        <v>1000000</v>
      </c>
      <c r="J256" s="136" t="s">
        <v>104</v>
      </c>
      <c r="K256" s="149">
        <f>SUM(I256*1)</f>
        <v>1000000</v>
      </c>
    </row>
    <row r="257" spans="1:11" ht="15" customHeight="1">
      <c r="A257" s="251"/>
      <c r="B257" s="233"/>
      <c r="C257" s="227" t="s">
        <v>160</v>
      </c>
      <c r="D257" s="306">
        <v>500</v>
      </c>
      <c r="E257" s="306">
        <v>1000</v>
      </c>
      <c r="F257" s="322">
        <f t="shared" si="7"/>
        <v>500</v>
      </c>
      <c r="G257" s="248">
        <v>0</v>
      </c>
      <c r="H257" s="263" t="s">
        <v>755</v>
      </c>
      <c r="I257" s="136">
        <v>250000</v>
      </c>
      <c r="J257" s="136" t="s">
        <v>96</v>
      </c>
      <c r="K257" s="149">
        <f>SUM(I257*4)</f>
        <v>1000000</v>
      </c>
    </row>
    <row r="258" spans="1:11" ht="15" customHeight="1">
      <c r="A258" s="251"/>
      <c r="B258" s="233"/>
      <c r="C258" s="227" t="s">
        <v>161</v>
      </c>
      <c r="D258" s="306">
        <v>200</v>
      </c>
      <c r="E258" s="306">
        <v>200</v>
      </c>
      <c r="F258" s="322">
        <f t="shared" si="7"/>
        <v>0</v>
      </c>
      <c r="G258" s="248">
        <v>0</v>
      </c>
      <c r="H258" s="263" t="s">
        <v>161</v>
      </c>
      <c r="I258" s="136">
        <v>100000</v>
      </c>
      <c r="J258" s="136" t="s">
        <v>732</v>
      </c>
      <c r="K258" s="149">
        <f>SUM(I258*2)</f>
        <v>200000</v>
      </c>
    </row>
    <row r="259" spans="1:11" ht="15" customHeight="1">
      <c r="A259" s="251"/>
      <c r="B259" s="233"/>
      <c r="C259" s="227" t="s">
        <v>164</v>
      </c>
      <c r="D259" s="306">
        <v>100</v>
      </c>
      <c r="E259" s="306">
        <v>100</v>
      </c>
      <c r="F259" s="322">
        <f t="shared" si="7"/>
        <v>0</v>
      </c>
      <c r="G259" s="248">
        <v>0</v>
      </c>
      <c r="H259" s="263" t="s">
        <v>164</v>
      </c>
      <c r="I259" s="136">
        <v>100000</v>
      </c>
      <c r="J259" s="136" t="s">
        <v>104</v>
      </c>
      <c r="K259" s="149">
        <f>SUM(I259*1)</f>
        <v>100000</v>
      </c>
    </row>
    <row r="260" spans="1:11" ht="15" customHeight="1">
      <c r="A260" s="251"/>
      <c r="B260" s="233"/>
      <c r="C260" s="227" t="s">
        <v>162</v>
      </c>
      <c r="D260" s="306">
        <v>100</v>
      </c>
      <c r="E260" s="306">
        <v>100</v>
      </c>
      <c r="F260" s="322">
        <f t="shared" si="7"/>
        <v>0</v>
      </c>
      <c r="G260" s="248">
        <v>0</v>
      </c>
      <c r="H260" s="465" t="s">
        <v>162</v>
      </c>
      <c r="I260" s="136">
        <v>100000</v>
      </c>
      <c r="J260" s="136" t="s">
        <v>104</v>
      </c>
      <c r="K260" s="149">
        <f>SUM(I260*1)</f>
        <v>100000</v>
      </c>
    </row>
    <row r="261" spans="1:11" ht="15" customHeight="1">
      <c r="A261" s="251"/>
      <c r="B261" s="323"/>
      <c r="C261" s="230" t="s">
        <v>163</v>
      </c>
      <c r="D261" s="253">
        <v>100</v>
      </c>
      <c r="E261" s="253">
        <v>100</v>
      </c>
      <c r="F261" s="255">
        <f t="shared" si="7"/>
        <v>0</v>
      </c>
      <c r="G261" s="256">
        <v>0</v>
      </c>
      <c r="H261" s="466" t="s">
        <v>163</v>
      </c>
      <c r="I261" s="274">
        <v>100000</v>
      </c>
      <c r="J261" s="274" t="s">
        <v>104</v>
      </c>
      <c r="K261" s="341">
        <f>SUM(I261*1)</f>
        <v>100000</v>
      </c>
    </row>
    <row r="262" spans="1:11" ht="15" customHeight="1">
      <c r="A262" s="251"/>
      <c r="B262" s="324" t="s">
        <v>165</v>
      </c>
      <c r="C262" s="230" t="s">
        <v>166</v>
      </c>
      <c r="D262" s="253">
        <v>7000</v>
      </c>
      <c r="E262" s="253">
        <v>7000</v>
      </c>
      <c r="F262" s="255">
        <f t="shared" si="7"/>
        <v>0</v>
      </c>
      <c r="G262" s="256">
        <f>F262*100/D262</f>
        <v>0</v>
      </c>
      <c r="H262" s="347" t="s">
        <v>166</v>
      </c>
      <c r="I262" s="375" t="s">
        <v>268</v>
      </c>
      <c r="J262" s="375"/>
      <c r="K262" s="341">
        <v>3000000</v>
      </c>
    </row>
    <row r="263" spans="1:11" ht="15" customHeight="1">
      <c r="A263" s="251"/>
      <c r="B263" s="324"/>
      <c r="C263" s="226"/>
      <c r="D263" s="257"/>
      <c r="E263" s="257"/>
      <c r="F263" s="342"/>
      <c r="G263" s="278"/>
      <c r="H263" s="367"/>
      <c r="I263" s="136" t="s">
        <v>269</v>
      </c>
      <c r="J263" s="136"/>
      <c r="K263" s="142">
        <v>4000000</v>
      </c>
    </row>
    <row r="264" spans="1:11" ht="14.25" customHeight="1">
      <c r="A264" s="251"/>
      <c r="B264" s="324"/>
      <c r="C264" s="230" t="s">
        <v>167</v>
      </c>
      <c r="D264" s="253">
        <v>8000</v>
      </c>
      <c r="E264" s="253">
        <v>8000</v>
      </c>
      <c r="F264" s="255">
        <f t="shared" si="7"/>
        <v>0</v>
      </c>
      <c r="G264" s="256">
        <f>F264*100/D264</f>
        <v>0</v>
      </c>
      <c r="H264" s="347" t="s">
        <v>167</v>
      </c>
      <c r="I264" s="375" t="s">
        <v>268</v>
      </c>
      <c r="J264" s="375"/>
      <c r="K264" s="341">
        <v>3000000</v>
      </c>
    </row>
    <row r="265" spans="1:11" ht="12.75" customHeight="1">
      <c r="A265" s="251"/>
      <c r="B265" s="324"/>
      <c r="C265" s="259"/>
      <c r="D265" s="260"/>
      <c r="E265" s="260"/>
      <c r="F265" s="330"/>
      <c r="G265" s="241"/>
      <c r="H265" s="281"/>
      <c r="I265" s="136" t="s">
        <v>269</v>
      </c>
      <c r="J265" s="136"/>
      <c r="K265" s="142">
        <v>5000000</v>
      </c>
    </row>
    <row r="266" spans="1:11" ht="15" customHeight="1">
      <c r="A266" s="251"/>
      <c r="B266" s="324"/>
      <c r="C266" s="259" t="s">
        <v>440</v>
      </c>
      <c r="D266" s="260">
        <v>2000</v>
      </c>
      <c r="E266" s="260">
        <v>2000</v>
      </c>
      <c r="F266" s="311">
        <f t="shared" si="7"/>
        <v>0</v>
      </c>
      <c r="G266" s="248">
        <f>F266*100/D266</f>
        <v>0</v>
      </c>
      <c r="H266" s="281" t="s">
        <v>440</v>
      </c>
      <c r="I266" s="211"/>
      <c r="J266" s="211"/>
      <c r="K266" s="149">
        <v>2000000</v>
      </c>
    </row>
    <row r="267" spans="1:11" ht="15" customHeight="1">
      <c r="A267" s="251"/>
      <c r="B267" s="324"/>
      <c r="C267" s="227" t="s">
        <v>168</v>
      </c>
      <c r="D267" s="306">
        <v>500</v>
      </c>
      <c r="E267" s="306">
        <v>500</v>
      </c>
      <c r="F267" s="247">
        <f t="shared" si="7"/>
        <v>0</v>
      </c>
      <c r="G267" s="248">
        <f>F267*100/D267</f>
        <v>0</v>
      </c>
      <c r="H267" s="337" t="s">
        <v>168</v>
      </c>
      <c r="I267" s="136"/>
      <c r="J267" s="136"/>
      <c r="K267" s="142">
        <v>500000</v>
      </c>
    </row>
    <row r="268" spans="1:11" ht="15" customHeight="1">
      <c r="A268" s="251"/>
      <c r="B268" s="324"/>
      <c r="C268" s="227" t="s">
        <v>169</v>
      </c>
      <c r="D268" s="306">
        <v>1000</v>
      </c>
      <c r="E268" s="306">
        <v>1000</v>
      </c>
      <c r="F268" s="247">
        <f t="shared" si="7"/>
        <v>0</v>
      </c>
      <c r="G268" s="248">
        <f>F268*100/D268</f>
        <v>0</v>
      </c>
      <c r="H268" s="337" t="s">
        <v>169</v>
      </c>
      <c r="I268" s="136"/>
      <c r="J268" s="136"/>
      <c r="K268" s="142">
        <v>1000000</v>
      </c>
    </row>
    <row r="269" spans="1:11" ht="15" customHeight="1">
      <c r="A269" s="251"/>
      <c r="B269" s="324"/>
      <c r="C269" s="227" t="s">
        <v>173</v>
      </c>
      <c r="D269" s="306">
        <v>1200</v>
      </c>
      <c r="E269" s="306">
        <v>1200</v>
      </c>
      <c r="F269" s="247">
        <f t="shared" si="7"/>
        <v>0</v>
      </c>
      <c r="G269" s="248">
        <f>F269*100/D269</f>
        <v>0</v>
      </c>
      <c r="H269" s="337" t="s">
        <v>173</v>
      </c>
      <c r="I269" s="136">
        <v>300000</v>
      </c>
      <c r="J269" s="136" t="s">
        <v>96</v>
      </c>
      <c r="K269" s="341">
        <f>SUM(I269*4)</f>
        <v>1200000</v>
      </c>
    </row>
    <row r="270" spans="1:11" ht="15" customHeight="1">
      <c r="A270" s="251"/>
      <c r="B270" s="324"/>
      <c r="C270" s="227" t="s">
        <v>170</v>
      </c>
      <c r="D270" s="306">
        <v>340</v>
      </c>
      <c r="E270" s="306">
        <v>340</v>
      </c>
      <c r="F270" s="247">
        <f t="shared" si="7"/>
        <v>0</v>
      </c>
      <c r="G270" s="248">
        <f>F270*100/D270</f>
        <v>0</v>
      </c>
      <c r="H270" s="337" t="s">
        <v>170</v>
      </c>
      <c r="I270" s="136"/>
      <c r="J270" s="136"/>
      <c r="K270" s="149">
        <v>340000</v>
      </c>
    </row>
    <row r="271" spans="1:11" ht="15" customHeight="1">
      <c r="A271" s="251"/>
      <c r="B271" s="324"/>
      <c r="C271" s="227" t="s">
        <v>171</v>
      </c>
      <c r="D271" s="306">
        <v>0</v>
      </c>
      <c r="E271" s="306">
        <v>0</v>
      </c>
      <c r="F271" s="247">
        <f t="shared" si="7"/>
        <v>0</v>
      </c>
      <c r="G271" s="248">
        <v>0</v>
      </c>
      <c r="H271" s="337" t="s">
        <v>171</v>
      </c>
      <c r="I271" s="136"/>
      <c r="J271" s="136"/>
      <c r="K271" s="142">
        <v>0</v>
      </c>
    </row>
    <row r="272" spans="1:11" ht="15" customHeight="1">
      <c r="A272" s="251"/>
      <c r="B272" s="324"/>
      <c r="C272" s="230" t="s">
        <v>172</v>
      </c>
      <c r="D272" s="325">
        <v>300</v>
      </c>
      <c r="E272" s="325">
        <v>0</v>
      </c>
      <c r="F272" s="262">
        <f>E272-D272</f>
        <v>-300</v>
      </c>
      <c r="G272" s="256">
        <v>0</v>
      </c>
      <c r="H272" s="347" t="s">
        <v>1010</v>
      </c>
      <c r="I272" s="136"/>
      <c r="J272" s="136"/>
      <c r="K272" s="341"/>
    </row>
    <row r="273" spans="1:11" ht="15" customHeight="1">
      <c r="A273" s="251"/>
      <c r="B273" s="338"/>
      <c r="C273" s="230" t="s">
        <v>994</v>
      </c>
      <c r="D273" s="325">
        <v>0</v>
      </c>
      <c r="E273" s="325">
        <v>500</v>
      </c>
      <c r="F273" s="262">
        <f t="shared" si="7"/>
        <v>500</v>
      </c>
      <c r="G273" s="256">
        <v>0</v>
      </c>
      <c r="H273" s="347" t="s">
        <v>995</v>
      </c>
      <c r="I273" s="136">
        <v>500000</v>
      </c>
      <c r="J273" s="136" t="s">
        <v>104</v>
      </c>
      <c r="K273" s="341">
        <f>SUM(I273*1)</f>
        <v>500000</v>
      </c>
    </row>
    <row r="274" spans="1:11" ht="15" customHeight="1">
      <c r="A274" s="251"/>
      <c r="B274" s="324" t="s">
        <v>441</v>
      </c>
      <c r="C274" s="230" t="s">
        <v>175</v>
      </c>
      <c r="D274" s="253">
        <v>800</v>
      </c>
      <c r="E274" s="253">
        <v>800</v>
      </c>
      <c r="F274" s="262">
        <f t="shared" si="7"/>
        <v>0</v>
      </c>
      <c r="G274" s="256">
        <f>F274*100/D274</f>
        <v>0</v>
      </c>
      <c r="H274" s="347" t="s">
        <v>175</v>
      </c>
      <c r="I274" s="375">
        <v>50000</v>
      </c>
      <c r="J274" s="375" t="s">
        <v>49</v>
      </c>
      <c r="K274" s="341">
        <f>SUM(I274*12)</f>
        <v>600000</v>
      </c>
    </row>
    <row r="275" spans="1:11" ht="15" customHeight="1">
      <c r="A275" s="251"/>
      <c r="B275" s="324" t="s">
        <v>174</v>
      </c>
      <c r="C275" s="259"/>
      <c r="D275" s="260"/>
      <c r="E275" s="260"/>
      <c r="F275" s="311"/>
      <c r="G275" s="241"/>
      <c r="H275" s="281" t="s">
        <v>177</v>
      </c>
      <c r="I275" s="136">
        <v>50000</v>
      </c>
      <c r="J275" s="136" t="s">
        <v>96</v>
      </c>
      <c r="K275" s="142">
        <f>SUM(I275*4)</f>
        <v>200000</v>
      </c>
    </row>
    <row r="276" spans="1:11" ht="18" customHeight="1">
      <c r="A276" s="251"/>
      <c r="B276" s="324"/>
      <c r="C276" s="259" t="s">
        <v>442</v>
      </c>
      <c r="D276" s="260">
        <v>200</v>
      </c>
      <c r="E276" s="260">
        <v>200</v>
      </c>
      <c r="F276" s="311">
        <f t="shared" si="7"/>
        <v>0</v>
      </c>
      <c r="G276" s="248">
        <v>0</v>
      </c>
      <c r="H276" s="281" t="s">
        <v>442</v>
      </c>
      <c r="I276" s="136">
        <v>200000</v>
      </c>
      <c r="J276" s="136" t="s">
        <v>104</v>
      </c>
      <c r="K276" s="149">
        <f>SUM(I276*1)</f>
        <v>200000</v>
      </c>
    </row>
    <row r="277" spans="1:11" ht="18" customHeight="1">
      <c r="A277" s="251"/>
      <c r="B277" s="233"/>
      <c r="C277" s="230" t="s">
        <v>176</v>
      </c>
      <c r="D277" s="253">
        <v>2000</v>
      </c>
      <c r="E277" s="253">
        <v>2000</v>
      </c>
      <c r="F277" s="262">
        <f t="shared" si="7"/>
        <v>0</v>
      </c>
      <c r="G277" s="248">
        <f>F277*100/D277</f>
        <v>0</v>
      </c>
      <c r="H277" s="347" t="s">
        <v>176</v>
      </c>
      <c r="I277" s="211">
        <v>2000000</v>
      </c>
      <c r="J277" s="211" t="s">
        <v>104</v>
      </c>
      <c r="K277" s="149">
        <f>SUM(I277*1)</f>
        <v>2000000</v>
      </c>
    </row>
    <row r="278" spans="1:11" ht="18" customHeight="1">
      <c r="A278" s="251"/>
      <c r="B278" s="324"/>
      <c r="C278" s="230" t="s">
        <v>443</v>
      </c>
      <c r="D278" s="253">
        <v>2700</v>
      </c>
      <c r="E278" s="253">
        <v>2700</v>
      </c>
      <c r="F278" s="255">
        <f>E278-D278</f>
        <v>0</v>
      </c>
      <c r="G278" s="278">
        <f>F278*100/D278</f>
        <v>0</v>
      </c>
      <c r="H278" s="337" t="s">
        <v>178</v>
      </c>
      <c r="I278" s="211"/>
      <c r="J278" s="211"/>
      <c r="K278" s="149">
        <v>500000</v>
      </c>
    </row>
    <row r="279" spans="1:11" ht="15" customHeight="1">
      <c r="A279" s="251"/>
      <c r="B279" s="324"/>
      <c r="C279" s="226"/>
      <c r="D279" s="257"/>
      <c r="E279" s="257"/>
      <c r="F279" s="277"/>
      <c r="G279" s="278"/>
      <c r="H279" s="337" t="s">
        <v>444</v>
      </c>
      <c r="I279" s="211"/>
      <c r="J279" s="211"/>
      <c r="K279" s="149">
        <v>808000</v>
      </c>
    </row>
    <row r="280" spans="1:11" ht="15" customHeight="1">
      <c r="A280" s="251"/>
      <c r="B280" s="324"/>
      <c r="C280" s="226"/>
      <c r="D280" s="257"/>
      <c r="E280" s="257"/>
      <c r="F280" s="277"/>
      <c r="G280" s="278"/>
      <c r="H280" s="337" t="s">
        <v>179</v>
      </c>
      <c r="I280" s="211"/>
      <c r="J280" s="211"/>
      <c r="K280" s="149">
        <v>400000</v>
      </c>
    </row>
    <row r="281" spans="1:11" ht="15" customHeight="1">
      <c r="A281" s="251"/>
      <c r="B281" s="324"/>
      <c r="C281" s="226"/>
      <c r="D281" s="257"/>
      <c r="E281" s="257"/>
      <c r="F281" s="277"/>
      <c r="G281" s="278"/>
      <c r="H281" s="337" t="s">
        <v>180</v>
      </c>
      <c r="I281" s="211"/>
      <c r="J281" s="211"/>
      <c r="K281" s="149">
        <v>200000</v>
      </c>
    </row>
    <row r="282" spans="1:11" ht="15" customHeight="1" thickBot="1">
      <c r="A282" s="264"/>
      <c r="B282" s="344"/>
      <c r="C282" s="229"/>
      <c r="D282" s="266"/>
      <c r="E282" s="266"/>
      <c r="F282" s="283"/>
      <c r="G282" s="284"/>
      <c r="H282" s="368" t="s">
        <v>181</v>
      </c>
      <c r="I282" s="286">
        <v>66000</v>
      </c>
      <c r="J282" s="286" t="s">
        <v>159</v>
      </c>
      <c r="K282" s="287">
        <f>SUM(I282*12)</f>
        <v>792000</v>
      </c>
    </row>
    <row r="283" spans="1:11" ht="13.5">
      <c r="A283" s="502" t="s">
        <v>5</v>
      </c>
      <c r="B283" s="504" t="s">
        <v>6</v>
      </c>
      <c r="C283" s="504" t="s">
        <v>7</v>
      </c>
      <c r="D283" s="504" t="s">
        <v>36</v>
      </c>
      <c r="E283" s="504" t="s">
        <v>986</v>
      </c>
      <c r="F283" s="544" t="s">
        <v>38</v>
      </c>
      <c r="G283" s="545"/>
      <c r="H283" s="538" t="s">
        <v>987</v>
      </c>
      <c r="I283" s="539"/>
      <c r="J283" s="539"/>
      <c r="K283" s="540"/>
    </row>
    <row r="284" spans="1:11" ht="18" customHeight="1" thickBot="1">
      <c r="A284" s="503"/>
      <c r="B284" s="505"/>
      <c r="C284" s="505"/>
      <c r="D284" s="505"/>
      <c r="E284" s="505"/>
      <c r="F284" s="269" t="s">
        <v>9</v>
      </c>
      <c r="G284" s="235" t="s">
        <v>40</v>
      </c>
      <c r="H284" s="541"/>
      <c r="I284" s="542"/>
      <c r="J284" s="542"/>
      <c r="K284" s="543"/>
    </row>
    <row r="285" spans="1:11" ht="21.75" customHeight="1" thickTop="1">
      <c r="A285" s="270" t="s">
        <v>111</v>
      </c>
      <c r="B285" s="546" t="s">
        <v>182</v>
      </c>
      <c r="C285" s="547"/>
      <c r="D285" s="334">
        <f>SUM(D286:D308)</f>
        <v>10560</v>
      </c>
      <c r="E285" s="334">
        <f>SUM(E286:E308)</f>
        <v>11560</v>
      </c>
      <c r="F285" s="322">
        <f>E285-D285</f>
        <v>1000</v>
      </c>
      <c r="G285" s="248">
        <f>F285*100/D285</f>
        <v>9.469696969696969</v>
      </c>
      <c r="H285" s="365" t="s">
        <v>445</v>
      </c>
      <c r="I285" s="273"/>
      <c r="J285" s="211"/>
      <c r="K285" s="149">
        <f>SUM(K286:K308)</f>
        <v>11560000</v>
      </c>
    </row>
    <row r="286" spans="1:11" ht="17.25" customHeight="1">
      <c r="A286" s="251"/>
      <c r="B286" s="219" t="s">
        <v>446</v>
      </c>
      <c r="C286" s="230" t="s">
        <v>183</v>
      </c>
      <c r="D286" s="558">
        <v>120</v>
      </c>
      <c r="E286" s="506">
        <v>120</v>
      </c>
      <c r="F286" s="536">
        <f>E286-D286</f>
        <v>0</v>
      </c>
      <c r="G286" s="537">
        <f>F286*100/D286</f>
        <v>0</v>
      </c>
      <c r="H286" s="428" t="s">
        <v>470</v>
      </c>
      <c r="I286" s="375"/>
      <c r="J286" s="375"/>
      <c r="K286" s="341"/>
    </row>
    <row r="287" spans="1:11" ht="17.25" customHeight="1">
      <c r="A287" s="251"/>
      <c r="B287" s="323"/>
      <c r="C287" s="259" t="s">
        <v>447</v>
      </c>
      <c r="D287" s="559"/>
      <c r="E287" s="533"/>
      <c r="F287" s="533"/>
      <c r="G287" s="533"/>
      <c r="H287" s="212" t="s">
        <v>448</v>
      </c>
      <c r="I287" s="136">
        <v>10000</v>
      </c>
      <c r="J287" s="136" t="s">
        <v>159</v>
      </c>
      <c r="K287" s="142">
        <f>SUM(I287*12)</f>
        <v>120000</v>
      </c>
    </row>
    <row r="288" spans="1:11" ht="17.25" customHeight="1">
      <c r="A288" s="251"/>
      <c r="B288" s="345" t="s">
        <v>765</v>
      </c>
      <c r="C288" s="230" t="s">
        <v>756</v>
      </c>
      <c r="D288" s="348">
        <v>1630</v>
      </c>
      <c r="E288" s="253">
        <v>1630</v>
      </c>
      <c r="F288" s="262">
        <f>E288-D288</f>
        <v>0</v>
      </c>
      <c r="G288" s="256">
        <f>F288*100/D288</f>
        <v>0</v>
      </c>
      <c r="H288" s="362" t="s">
        <v>759</v>
      </c>
      <c r="I288" s="136">
        <v>30000</v>
      </c>
      <c r="J288" s="211" t="s">
        <v>760</v>
      </c>
      <c r="K288" s="149">
        <f>SUM(I288*8*4)</f>
        <v>960000</v>
      </c>
    </row>
    <row r="289" spans="1:11" ht="17.25" customHeight="1">
      <c r="A289" s="251"/>
      <c r="B289" s="324"/>
      <c r="C289" s="226" t="s">
        <v>757</v>
      </c>
      <c r="D289" s="481"/>
      <c r="E289" s="257"/>
      <c r="F289" s="277"/>
      <c r="G289" s="278"/>
      <c r="H289" s="263" t="s">
        <v>761</v>
      </c>
      <c r="I289" s="136">
        <v>7000</v>
      </c>
      <c r="J289" s="211" t="s">
        <v>762</v>
      </c>
      <c r="K289" s="149">
        <f>SUM(I289*10)</f>
        <v>70000</v>
      </c>
    </row>
    <row r="290" spans="1:11" ht="17.25" customHeight="1">
      <c r="A290" s="251"/>
      <c r="B290" s="338"/>
      <c r="C290" s="259" t="s">
        <v>758</v>
      </c>
      <c r="D290" s="346"/>
      <c r="E290" s="260"/>
      <c r="F290" s="311"/>
      <c r="G290" s="241"/>
      <c r="H290" s="263" t="s">
        <v>763</v>
      </c>
      <c r="I290" s="136">
        <v>25000</v>
      </c>
      <c r="J290" s="211" t="s">
        <v>764</v>
      </c>
      <c r="K290" s="149">
        <f>SUM(I290*12*2)</f>
        <v>600000</v>
      </c>
    </row>
    <row r="291" spans="1:11" ht="17.25" customHeight="1">
      <c r="A291" s="251"/>
      <c r="B291" s="233" t="s">
        <v>766</v>
      </c>
      <c r="C291" s="259" t="s">
        <v>768</v>
      </c>
      <c r="D291" s="346">
        <v>0</v>
      </c>
      <c r="E291" s="346">
        <v>0</v>
      </c>
      <c r="F291" s="330">
        <f>E291-D291</f>
        <v>0</v>
      </c>
      <c r="G291" s="241">
        <v>0</v>
      </c>
      <c r="H291" s="362" t="s">
        <v>769</v>
      </c>
      <c r="I291" s="136"/>
      <c r="J291" s="136"/>
      <c r="K291" s="149"/>
    </row>
    <row r="292" spans="1:11" ht="17.25" customHeight="1">
      <c r="A292" s="251"/>
      <c r="B292" s="233"/>
      <c r="C292" s="230" t="s">
        <v>767</v>
      </c>
      <c r="D292" s="348">
        <v>146</v>
      </c>
      <c r="E292" s="348">
        <v>146</v>
      </c>
      <c r="F292" s="255">
        <f>E292-D292</f>
        <v>0</v>
      </c>
      <c r="G292" s="256">
        <v>0</v>
      </c>
      <c r="H292" s="374" t="s">
        <v>185</v>
      </c>
      <c r="I292" s="375"/>
      <c r="J292" s="375"/>
      <c r="K292" s="341">
        <v>0</v>
      </c>
    </row>
    <row r="293" spans="1:11" ht="17.25" customHeight="1">
      <c r="A293" s="251"/>
      <c r="B293" s="324"/>
      <c r="C293" s="226"/>
      <c r="D293" s="481"/>
      <c r="E293" s="257"/>
      <c r="F293" s="277"/>
      <c r="G293" s="278"/>
      <c r="H293" s="366" t="s">
        <v>770</v>
      </c>
      <c r="I293" s="274"/>
      <c r="J293" s="274"/>
      <c r="K293" s="279">
        <v>46000</v>
      </c>
    </row>
    <row r="294" spans="1:11" ht="17.25" customHeight="1">
      <c r="A294" s="251"/>
      <c r="B294" s="324"/>
      <c r="C294" s="226"/>
      <c r="D294" s="481"/>
      <c r="E294" s="257"/>
      <c r="F294" s="277"/>
      <c r="G294" s="278"/>
      <c r="H294" s="366" t="s">
        <v>771</v>
      </c>
      <c r="I294" s="274">
        <v>5000</v>
      </c>
      <c r="J294" s="274" t="s">
        <v>773</v>
      </c>
      <c r="K294" s="279">
        <f>SUM(I294*10)</f>
        <v>50000</v>
      </c>
    </row>
    <row r="295" spans="1:11" ht="17.25" customHeight="1">
      <c r="A295" s="251"/>
      <c r="B295" s="324"/>
      <c r="C295" s="259"/>
      <c r="D295" s="346"/>
      <c r="E295" s="260"/>
      <c r="F295" s="311"/>
      <c r="G295" s="241"/>
      <c r="H295" s="212" t="s">
        <v>772</v>
      </c>
      <c r="I295" s="136">
        <v>5000</v>
      </c>
      <c r="J295" s="136" t="s">
        <v>773</v>
      </c>
      <c r="K295" s="142">
        <f>SUM(I295*10)</f>
        <v>50000</v>
      </c>
    </row>
    <row r="296" spans="1:11" ht="17.25" customHeight="1">
      <c r="A296" s="251"/>
      <c r="B296" s="233"/>
      <c r="C296" s="230" t="s">
        <v>449</v>
      </c>
      <c r="D296" s="348">
        <v>2234</v>
      </c>
      <c r="E296" s="253">
        <v>2234</v>
      </c>
      <c r="F296" s="262">
        <f>E296-D296</f>
        <v>0</v>
      </c>
      <c r="G296" s="256">
        <v>0</v>
      </c>
      <c r="H296" s="374" t="s">
        <v>774</v>
      </c>
      <c r="I296" s="375">
        <v>25000</v>
      </c>
      <c r="J296" s="375" t="s">
        <v>775</v>
      </c>
      <c r="K296" s="341">
        <f>SUM(I296*28)</f>
        <v>700000</v>
      </c>
    </row>
    <row r="297" spans="1:11" ht="17.25" customHeight="1">
      <c r="A297" s="251"/>
      <c r="B297" s="233"/>
      <c r="C297" s="226"/>
      <c r="D297" s="481"/>
      <c r="E297" s="257"/>
      <c r="F297" s="277"/>
      <c r="G297" s="278"/>
      <c r="H297" s="366" t="s">
        <v>776</v>
      </c>
      <c r="I297" s="274">
        <v>2000</v>
      </c>
      <c r="J297" s="274" t="s">
        <v>777</v>
      </c>
      <c r="K297" s="279">
        <f>SUM(I297*28*14)</f>
        <v>784000</v>
      </c>
    </row>
    <row r="298" spans="1:11" ht="17.25" customHeight="1">
      <c r="A298" s="251"/>
      <c r="B298" s="324"/>
      <c r="C298" s="259"/>
      <c r="D298" s="346"/>
      <c r="E298" s="260"/>
      <c r="F298" s="311"/>
      <c r="G298" s="241"/>
      <c r="H298" s="212" t="s">
        <v>778</v>
      </c>
      <c r="I298" s="136">
        <v>25000</v>
      </c>
      <c r="J298" s="136" t="s">
        <v>779</v>
      </c>
      <c r="K298" s="142">
        <f>SUM(I298*30)</f>
        <v>750000</v>
      </c>
    </row>
    <row r="299" spans="1:11" ht="17.25" customHeight="1">
      <c r="A299" s="251"/>
      <c r="B299" s="324"/>
      <c r="C299" s="226" t="s">
        <v>780</v>
      </c>
      <c r="D299" s="348">
        <v>2650</v>
      </c>
      <c r="E299" s="253">
        <v>2650</v>
      </c>
      <c r="F299" s="262">
        <f>E299-D299</f>
        <v>0</v>
      </c>
      <c r="G299" s="256">
        <v>0</v>
      </c>
      <c r="H299" s="374" t="s">
        <v>781</v>
      </c>
      <c r="I299" s="375">
        <v>30000</v>
      </c>
      <c r="J299" s="375" t="s">
        <v>779</v>
      </c>
      <c r="K299" s="341">
        <f>SUM(I299*30)</f>
        <v>900000</v>
      </c>
    </row>
    <row r="300" spans="1:11" ht="17.25" customHeight="1">
      <c r="A300" s="251"/>
      <c r="B300" s="324"/>
      <c r="C300" s="226"/>
      <c r="D300" s="481"/>
      <c r="E300" s="257"/>
      <c r="F300" s="277"/>
      <c r="G300" s="278"/>
      <c r="H300" s="366" t="s">
        <v>782</v>
      </c>
      <c r="I300" s="274"/>
      <c r="J300" s="274"/>
      <c r="K300" s="279">
        <v>1000000</v>
      </c>
    </row>
    <row r="301" spans="1:11" ht="17.25" customHeight="1">
      <c r="A301" s="251"/>
      <c r="B301" s="324"/>
      <c r="C301" s="259"/>
      <c r="D301" s="346"/>
      <c r="E301" s="260"/>
      <c r="F301" s="311"/>
      <c r="G301" s="241"/>
      <c r="H301" s="212" t="s">
        <v>783</v>
      </c>
      <c r="I301" s="136">
        <v>25000</v>
      </c>
      <c r="J301" s="136" t="s">
        <v>779</v>
      </c>
      <c r="K301" s="142">
        <f>SUM(I301*30)</f>
        <v>750000</v>
      </c>
    </row>
    <row r="302" spans="1:11" ht="17.25" customHeight="1">
      <c r="A302" s="251"/>
      <c r="B302" s="323"/>
      <c r="C302" s="227" t="s">
        <v>784</v>
      </c>
      <c r="D302" s="346">
        <v>0</v>
      </c>
      <c r="E302" s="346">
        <v>0</v>
      </c>
      <c r="F302" s="330">
        <f>E302-D302</f>
        <v>0</v>
      </c>
      <c r="G302" s="241">
        <v>0</v>
      </c>
      <c r="H302" s="467" t="s">
        <v>785</v>
      </c>
      <c r="I302" s="136"/>
      <c r="J302" s="136"/>
      <c r="K302" s="142"/>
    </row>
    <row r="303" spans="1:11" ht="17.25" customHeight="1">
      <c r="A303" s="251"/>
      <c r="B303" s="324" t="s">
        <v>450</v>
      </c>
      <c r="C303" s="230" t="s">
        <v>186</v>
      </c>
      <c r="D303" s="253">
        <v>300</v>
      </c>
      <c r="E303" s="253">
        <v>300</v>
      </c>
      <c r="F303" s="255">
        <f>E303-D303</f>
        <v>0</v>
      </c>
      <c r="G303" s="256">
        <v>0</v>
      </c>
      <c r="H303" s="347" t="s">
        <v>786</v>
      </c>
      <c r="I303" s="211">
        <v>30000</v>
      </c>
      <c r="J303" s="136" t="s">
        <v>94</v>
      </c>
      <c r="K303" s="149">
        <f>SUM(I303*10)</f>
        <v>300000</v>
      </c>
    </row>
    <row r="304" spans="1:11" ht="17.25" customHeight="1">
      <c r="A304" s="251"/>
      <c r="B304" s="324"/>
      <c r="C304" s="227" t="s">
        <v>187</v>
      </c>
      <c r="D304" s="306">
        <v>180</v>
      </c>
      <c r="E304" s="306">
        <v>180</v>
      </c>
      <c r="F304" s="247">
        <f aca="true" t="shared" si="8" ref="F304:F314">E304-D304</f>
        <v>0</v>
      </c>
      <c r="G304" s="248">
        <v>0</v>
      </c>
      <c r="H304" s="337" t="s">
        <v>787</v>
      </c>
      <c r="I304" s="211"/>
      <c r="J304" s="136"/>
      <c r="K304" s="149">
        <v>180000</v>
      </c>
    </row>
    <row r="305" spans="1:11" ht="17.25" customHeight="1">
      <c r="A305" s="251"/>
      <c r="B305" s="324"/>
      <c r="C305" s="227" t="s">
        <v>451</v>
      </c>
      <c r="D305" s="306">
        <v>150</v>
      </c>
      <c r="E305" s="306">
        <v>150</v>
      </c>
      <c r="F305" s="247">
        <f t="shared" si="8"/>
        <v>0</v>
      </c>
      <c r="G305" s="248">
        <v>0</v>
      </c>
      <c r="H305" s="337" t="s">
        <v>451</v>
      </c>
      <c r="I305" s="211">
        <v>150000</v>
      </c>
      <c r="J305" s="136" t="s">
        <v>189</v>
      </c>
      <c r="K305" s="149">
        <f>SUM(I305*1)</f>
        <v>150000</v>
      </c>
    </row>
    <row r="306" spans="1:11" ht="17.25" customHeight="1">
      <c r="A306" s="251"/>
      <c r="B306" s="324"/>
      <c r="C306" s="227" t="s">
        <v>452</v>
      </c>
      <c r="D306" s="306">
        <v>1000</v>
      </c>
      <c r="E306" s="306">
        <v>1000</v>
      </c>
      <c r="F306" s="247">
        <f t="shared" si="8"/>
        <v>0</v>
      </c>
      <c r="G306" s="248">
        <f>F306*100/D306</f>
        <v>0</v>
      </c>
      <c r="H306" s="337" t="s">
        <v>452</v>
      </c>
      <c r="I306" s="136">
        <v>1000000</v>
      </c>
      <c r="J306" s="136" t="s">
        <v>189</v>
      </c>
      <c r="K306" s="149">
        <f>SUM(I306*1)</f>
        <v>1000000</v>
      </c>
    </row>
    <row r="307" spans="1:11" ht="17.25" customHeight="1">
      <c r="A307" s="251"/>
      <c r="B307" s="324"/>
      <c r="C307" s="227" t="s">
        <v>188</v>
      </c>
      <c r="D307" s="306">
        <v>2000</v>
      </c>
      <c r="E307" s="306">
        <v>3000</v>
      </c>
      <c r="F307" s="247">
        <f>E307-D307</f>
        <v>1000</v>
      </c>
      <c r="G307" s="248">
        <f>F307*100/D307</f>
        <v>50</v>
      </c>
      <c r="H307" s="337" t="s">
        <v>188</v>
      </c>
      <c r="I307" s="211">
        <v>3000000</v>
      </c>
      <c r="J307" s="211" t="s">
        <v>189</v>
      </c>
      <c r="K307" s="149">
        <f>SUM(I307*1)</f>
        <v>3000000</v>
      </c>
    </row>
    <row r="308" spans="1:11" ht="17.25" customHeight="1">
      <c r="A308" s="251"/>
      <c r="B308" s="338"/>
      <c r="C308" s="259" t="s">
        <v>788</v>
      </c>
      <c r="D308" s="260">
        <v>150</v>
      </c>
      <c r="E308" s="260">
        <v>150</v>
      </c>
      <c r="F308" s="311">
        <f t="shared" si="8"/>
        <v>0</v>
      </c>
      <c r="G308" s="241">
        <v>0</v>
      </c>
      <c r="H308" s="281" t="s">
        <v>789</v>
      </c>
      <c r="I308" s="136"/>
      <c r="J308" s="136"/>
      <c r="K308" s="142">
        <v>150000</v>
      </c>
    </row>
    <row r="309" spans="1:11" ht="16.5" customHeight="1">
      <c r="A309" s="270"/>
      <c r="B309" s="534" t="s">
        <v>190</v>
      </c>
      <c r="C309" s="535"/>
      <c r="D309" s="354">
        <f>SUM(D310:D314)</f>
        <v>620</v>
      </c>
      <c r="E309" s="354">
        <f>SUM(E310:E314)</f>
        <v>620</v>
      </c>
      <c r="F309" s="330">
        <f t="shared" si="8"/>
        <v>0</v>
      </c>
      <c r="G309" s="241">
        <f>F309*100/D309</f>
        <v>0</v>
      </c>
      <c r="H309" s="212" t="s">
        <v>453</v>
      </c>
      <c r="I309" s="136"/>
      <c r="J309" s="136"/>
      <c r="K309" s="142">
        <f>SUM(K310:K314)</f>
        <v>620000</v>
      </c>
    </row>
    <row r="310" spans="1:11" ht="16.5" customHeight="1">
      <c r="A310" s="251"/>
      <c r="B310" s="320" t="s">
        <v>454</v>
      </c>
      <c r="C310" s="227" t="s">
        <v>455</v>
      </c>
      <c r="D310" s="306">
        <v>140</v>
      </c>
      <c r="E310" s="306">
        <v>140</v>
      </c>
      <c r="F310" s="322">
        <f t="shared" si="8"/>
        <v>0</v>
      </c>
      <c r="G310" s="248">
        <v>0</v>
      </c>
      <c r="H310" s="362" t="s">
        <v>485</v>
      </c>
      <c r="I310" s="211">
        <v>70000</v>
      </c>
      <c r="J310" s="211" t="s">
        <v>732</v>
      </c>
      <c r="K310" s="149">
        <f>SUM(I310*1*2)</f>
        <v>140000</v>
      </c>
    </row>
    <row r="311" spans="1:11" ht="16.5" customHeight="1">
      <c r="A311" s="251"/>
      <c r="B311" s="219" t="s">
        <v>191</v>
      </c>
      <c r="C311" s="230" t="s">
        <v>456</v>
      </c>
      <c r="D311" s="253">
        <v>200</v>
      </c>
      <c r="E311" s="253">
        <v>200</v>
      </c>
      <c r="F311" s="255">
        <f t="shared" si="8"/>
        <v>0</v>
      </c>
      <c r="G311" s="256">
        <f>F311*100/D311</f>
        <v>0</v>
      </c>
      <c r="H311" s="428" t="s">
        <v>750</v>
      </c>
      <c r="I311" s="375">
        <v>100000</v>
      </c>
      <c r="J311" s="375" t="s">
        <v>104</v>
      </c>
      <c r="K311" s="341">
        <f>SUM(I311*1)</f>
        <v>100000</v>
      </c>
    </row>
    <row r="312" spans="1:11" ht="16.5" customHeight="1">
      <c r="A312" s="251"/>
      <c r="B312" s="338"/>
      <c r="C312" s="259"/>
      <c r="D312" s="260"/>
      <c r="E312" s="260"/>
      <c r="F312" s="330"/>
      <c r="G312" s="241"/>
      <c r="H312" s="363" t="s">
        <v>751</v>
      </c>
      <c r="I312" s="136">
        <v>50000</v>
      </c>
      <c r="J312" s="136" t="s">
        <v>732</v>
      </c>
      <c r="K312" s="142">
        <f>SUM(I312*2)</f>
        <v>100000</v>
      </c>
    </row>
    <row r="313" spans="1:11" ht="16.5" customHeight="1">
      <c r="A313" s="251"/>
      <c r="B313" s="345" t="s">
        <v>457</v>
      </c>
      <c r="C313" s="227" t="s">
        <v>192</v>
      </c>
      <c r="D313" s="306">
        <v>220</v>
      </c>
      <c r="E313" s="306">
        <v>220</v>
      </c>
      <c r="F313" s="262">
        <f t="shared" si="8"/>
        <v>0</v>
      </c>
      <c r="G313" s="248">
        <v>0</v>
      </c>
      <c r="H313" s="263" t="s">
        <v>194</v>
      </c>
      <c r="I313" s="136">
        <v>55000</v>
      </c>
      <c r="J313" s="211" t="s">
        <v>748</v>
      </c>
      <c r="K313" s="149">
        <f>SUM(I313*4)</f>
        <v>220000</v>
      </c>
    </row>
    <row r="314" spans="1:11" ht="16.5" customHeight="1" thickBot="1">
      <c r="A314" s="264"/>
      <c r="B314" s="344"/>
      <c r="C314" s="229" t="s">
        <v>193</v>
      </c>
      <c r="D314" s="266">
        <v>60</v>
      </c>
      <c r="E314" s="266">
        <v>60</v>
      </c>
      <c r="F314" s="332">
        <f t="shared" si="8"/>
        <v>0</v>
      </c>
      <c r="G314" s="333">
        <v>0</v>
      </c>
      <c r="H314" s="357" t="s">
        <v>749</v>
      </c>
      <c r="I314" s="285">
        <v>30000</v>
      </c>
      <c r="J314" s="286" t="s">
        <v>121</v>
      </c>
      <c r="K314" s="287">
        <f>SUM(I314*2)</f>
        <v>60000</v>
      </c>
    </row>
    <row r="315" spans="1:11" ht="14.25" customHeight="1">
      <c r="A315" s="502" t="s">
        <v>5</v>
      </c>
      <c r="B315" s="504" t="s">
        <v>6</v>
      </c>
      <c r="C315" s="504" t="s">
        <v>7</v>
      </c>
      <c r="D315" s="504" t="s">
        <v>36</v>
      </c>
      <c r="E315" s="504" t="s">
        <v>986</v>
      </c>
      <c r="F315" s="544" t="s">
        <v>38</v>
      </c>
      <c r="G315" s="545"/>
      <c r="H315" s="538" t="s">
        <v>987</v>
      </c>
      <c r="I315" s="539"/>
      <c r="J315" s="539"/>
      <c r="K315" s="540"/>
    </row>
    <row r="316" spans="1:11" ht="17.25" customHeight="1" thickBot="1">
      <c r="A316" s="503"/>
      <c r="B316" s="505"/>
      <c r="C316" s="505"/>
      <c r="D316" s="505"/>
      <c r="E316" s="505"/>
      <c r="F316" s="269" t="s">
        <v>9</v>
      </c>
      <c r="G316" s="349" t="s">
        <v>40</v>
      </c>
      <c r="H316" s="541"/>
      <c r="I316" s="542"/>
      <c r="J316" s="542"/>
      <c r="K316" s="543"/>
    </row>
    <row r="317" spans="1:11" ht="19.5" customHeight="1" thickTop="1">
      <c r="A317" s="299" t="s">
        <v>111</v>
      </c>
      <c r="B317" s="222" t="s">
        <v>199</v>
      </c>
      <c r="C317" s="350" t="s">
        <v>200</v>
      </c>
      <c r="D317" s="334">
        <f>SUM(D318:D331)</f>
        <v>10000</v>
      </c>
      <c r="E317" s="334">
        <f>SUM(E318:E331)</f>
        <v>10000</v>
      </c>
      <c r="F317" s="277">
        <f>E317-D317</f>
        <v>0</v>
      </c>
      <c r="G317" s="278">
        <f>F317*100/D317</f>
        <v>0</v>
      </c>
      <c r="H317" s="294" t="s">
        <v>206</v>
      </c>
      <c r="I317" s="314"/>
      <c r="J317" s="314"/>
      <c r="K317" s="341">
        <f>SUM(K318:K331)</f>
        <v>10000000</v>
      </c>
    </row>
    <row r="318" spans="1:11" ht="12" customHeight="1">
      <c r="A318" s="251"/>
      <c r="B318" s="233"/>
      <c r="C318" s="231" t="s">
        <v>195</v>
      </c>
      <c r="D318" s="253">
        <v>4425</v>
      </c>
      <c r="E318" s="253">
        <v>4425</v>
      </c>
      <c r="F318" s="262">
        <f aca="true" t="shared" si="9" ref="F318:F331">E318-D318</f>
        <v>0</v>
      </c>
      <c r="G318" s="256">
        <v>0</v>
      </c>
      <c r="H318" s="374" t="s">
        <v>813</v>
      </c>
      <c r="I318" s="375">
        <v>64000</v>
      </c>
      <c r="J318" s="375" t="s">
        <v>739</v>
      </c>
      <c r="K318" s="341">
        <f>SUM(I318*10)</f>
        <v>640000</v>
      </c>
    </row>
    <row r="319" spans="1:11" ht="12" customHeight="1">
      <c r="A319" s="251"/>
      <c r="B319" s="233"/>
      <c r="C319" s="343"/>
      <c r="D319" s="257"/>
      <c r="E319" s="257"/>
      <c r="F319" s="277"/>
      <c r="G319" s="278"/>
      <c r="H319" s="366" t="s">
        <v>814</v>
      </c>
      <c r="I319" s="274">
        <v>185000</v>
      </c>
      <c r="J319" s="274" t="s">
        <v>104</v>
      </c>
      <c r="K319" s="279">
        <f>SUM(I319*1)</f>
        <v>185000</v>
      </c>
    </row>
    <row r="320" spans="1:11" ht="12" customHeight="1">
      <c r="A320" s="251"/>
      <c r="B320" s="233"/>
      <c r="C320" s="275"/>
      <c r="D320" s="260"/>
      <c r="E320" s="260"/>
      <c r="F320" s="311"/>
      <c r="G320" s="241"/>
      <c r="H320" s="198" t="s">
        <v>486</v>
      </c>
      <c r="I320" s="136">
        <v>400000</v>
      </c>
      <c r="J320" s="136" t="s">
        <v>645</v>
      </c>
      <c r="K320" s="142">
        <f>SUM(I320*9)</f>
        <v>3600000</v>
      </c>
    </row>
    <row r="321" spans="1:11" ht="12" customHeight="1">
      <c r="A321" s="251"/>
      <c r="B321" s="233"/>
      <c r="C321" s="227" t="s">
        <v>198</v>
      </c>
      <c r="D321" s="306">
        <v>1200</v>
      </c>
      <c r="E321" s="306">
        <v>1200</v>
      </c>
      <c r="F321" s="247">
        <f t="shared" si="9"/>
        <v>0</v>
      </c>
      <c r="G321" s="248">
        <f aca="true" t="shared" si="10" ref="G321:G331">F321*100/D321</f>
        <v>0</v>
      </c>
      <c r="H321" s="263" t="s">
        <v>198</v>
      </c>
      <c r="I321" s="211">
        <v>60000</v>
      </c>
      <c r="J321" s="364" t="s">
        <v>815</v>
      </c>
      <c r="K321" s="149">
        <f>SUM(I321*2*10)</f>
        <v>1200000</v>
      </c>
    </row>
    <row r="322" spans="1:11" ht="12" customHeight="1">
      <c r="A322" s="251"/>
      <c r="B322" s="233"/>
      <c r="C322" s="227" t="s">
        <v>458</v>
      </c>
      <c r="D322" s="306">
        <v>600</v>
      </c>
      <c r="E322" s="306">
        <v>600</v>
      </c>
      <c r="F322" s="247">
        <f t="shared" si="9"/>
        <v>0</v>
      </c>
      <c r="G322" s="248">
        <f t="shared" si="10"/>
        <v>0</v>
      </c>
      <c r="H322" s="263" t="s">
        <v>201</v>
      </c>
      <c r="I322" s="211">
        <v>300000</v>
      </c>
      <c r="J322" s="211" t="s">
        <v>121</v>
      </c>
      <c r="K322" s="149">
        <f>SUM(I322*2)</f>
        <v>600000</v>
      </c>
    </row>
    <row r="323" spans="1:11" ht="12" customHeight="1">
      <c r="A323" s="251"/>
      <c r="B323" s="233"/>
      <c r="C323" s="227" t="s">
        <v>202</v>
      </c>
      <c r="D323" s="306">
        <v>1400</v>
      </c>
      <c r="E323" s="306">
        <v>1400</v>
      </c>
      <c r="F323" s="247">
        <f t="shared" si="9"/>
        <v>0</v>
      </c>
      <c r="G323" s="248">
        <f t="shared" si="10"/>
        <v>0</v>
      </c>
      <c r="H323" s="263" t="s">
        <v>459</v>
      </c>
      <c r="I323" s="211">
        <v>70000</v>
      </c>
      <c r="J323" s="211" t="s">
        <v>816</v>
      </c>
      <c r="K323" s="149">
        <f>SUM(I323*20)</f>
        <v>1400000</v>
      </c>
    </row>
    <row r="324" spans="1:11" ht="13.5">
      <c r="A324" s="251"/>
      <c r="B324" s="233"/>
      <c r="C324" s="227" t="s">
        <v>735</v>
      </c>
      <c r="D324" s="306">
        <v>360</v>
      </c>
      <c r="E324" s="306">
        <v>360</v>
      </c>
      <c r="F324" s="247">
        <f>E324-D324</f>
        <v>0</v>
      </c>
      <c r="G324" s="248">
        <f>F324*100/D324</f>
        <v>0</v>
      </c>
      <c r="H324" s="263" t="s">
        <v>735</v>
      </c>
      <c r="I324" s="211">
        <v>40000</v>
      </c>
      <c r="J324" s="211" t="s">
        <v>817</v>
      </c>
      <c r="K324" s="149">
        <f>SUM(I324*9)</f>
        <v>360000</v>
      </c>
    </row>
    <row r="325" spans="1:11" ht="13.5">
      <c r="A325" s="251"/>
      <c r="B325" s="233"/>
      <c r="C325" s="343" t="s">
        <v>203</v>
      </c>
      <c r="D325" s="260">
        <v>180</v>
      </c>
      <c r="E325" s="260">
        <v>180</v>
      </c>
      <c r="F325" s="311">
        <f>E325-D325</f>
        <v>0</v>
      </c>
      <c r="G325" s="241">
        <v>0</v>
      </c>
      <c r="H325" s="366" t="s">
        <v>203</v>
      </c>
      <c r="I325" s="136">
        <v>20000</v>
      </c>
      <c r="J325" s="136" t="s">
        <v>818</v>
      </c>
      <c r="K325" s="149">
        <f>SUM(I325*9)</f>
        <v>180000</v>
      </c>
    </row>
    <row r="326" spans="1:11" ht="13.5">
      <c r="A326" s="251"/>
      <c r="B326" s="233"/>
      <c r="C326" s="227" t="s">
        <v>204</v>
      </c>
      <c r="D326" s="203">
        <v>180</v>
      </c>
      <c r="E326" s="203">
        <v>180</v>
      </c>
      <c r="F326" s="247">
        <f>E326-D326</f>
        <v>0</v>
      </c>
      <c r="G326" s="248">
        <v>0</v>
      </c>
      <c r="H326" s="263" t="s">
        <v>204</v>
      </c>
      <c r="I326" s="211">
        <v>20000</v>
      </c>
      <c r="J326" s="136" t="s">
        <v>818</v>
      </c>
      <c r="K326" s="149">
        <f>SUM(I326*9)</f>
        <v>180000</v>
      </c>
    </row>
    <row r="327" spans="1:11" ht="13.5">
      <c r="A327" s="251"/>
      <c r="B327" s="233"/>
      <c r="C327" s="230" t="s">
        <v>811</v>
      </c>
      <c r="D327" s="325">
        <v>1200</v>
      </c>
      <c r="E327" s="325">
        <v>1200</v>
      </c>
      <c r="F327" s="262">
        <f>E327-D327</f>
        <v>0</v>
      </c>
      <c r="G327" s="248">
        <v>0</v>
      </c>
      <c r="H327" s="366" t="s">
        <v>196</v>
      </c>
      <c r="I327" s="274">
        <v>100000</v>
      </c>
      <c r="J327" s="274" t="s">
        <v>49</v>
      </c>
      <c r="K327" s="279">
        <f>SUM(I327*12)</f>
        <v>1200000</v>
      </c>
    </row>
    <row r="328" spans="1:11" ht="13.5">
      <c r="A328" s="251"/>
      <c r="B328" s="233"/>
      <c r="C328" s="230" t="s">
        <v>812</v>
      </c>
      <c r="D328" s="253">
        <v>120</v>
      </c>
      <c r="E328" s="253">
        <v>120</v>
      </c>
      <c r="F328" s="262">
        <f t="shared" si="9"/>
        <v>0</v>
      </c>
      <c r="G328" s="351">
        <v>0</v>
      </c>
      <c r="H328" s="263" t="s">
        <v>819</v>
      </c>
      <c r="I328" s="211">
        <v>10000</v>
      </c>
      <c r="J328" s="211" t="s">
        <v>49</v>
      </c>
      <c r="K328" s="149">
        <f>SUM(I328*12)</f>
        <v>120000</v>
      </c>
    </row>
    <row r="329" spans="1:11" ht="13.5">
      <c r="A329" s="251"/>
      <c r="B329" s="233"/>
      <c r="C329" s="230" t="s">
        <v>118</v>
      </c>
      <c r="D329" s="253">
        <v>135</v>
      </c>
      <c r="E329" s="253">
        <v>135</v>
      </c>
      <c r="F329" s="262">
        <f t="shared" si="9"/>
        <v>0</v>
      </c>
      <c r="G329" s="256">
        <f t="shared" si="10"/>
        <v>0</v>
      </c>
      <c r="H329" s="366" t="s">
        <v>118</v>
      </c>
      <c r="I329" s="274">
        <v>100000</v>
      </c>
      <c r="J329" s="274" t="s">
        <v>104</v>
      </c>
      <c r="K329" s="279">
        <f>SUM(I329*1)</f>
        <v>100000</v>
      </c>
    </row>
    <row r="330" spans="1:11" ht="13.5">
      <c r="A330" s="251"/>
      <c r="B330" s="233"/>
      <c r="C330" s="259"/>
      <c r="D330" s="260"/>
      <c r="E330" s="260"/>
      <c r="F330" s="311"/>
      <c r="G330" s="241"/>
      <c r="H330" s="212" t="s">
        <v>820</v>
      </c>
      <c r="I330" s="136">
        <v>35000</v>
      </c>
      <c r="J330" s="136" t="s">
        <v>104</v>
      </c>
      <c r="K330" s="142">
        <f>SUM(I330*1)</f>
        <v>35000</v>
      </c>
    </row>
    <row r="331" spans="1:11" ht="13.5">
      <c r="A331" s="251"/>
      <c r="B331" s="323"/>
      <c r="C331" s="259" t="s">
        <v>821</v>
      </c>
      <c r="D331" s="260">
        <v>200</v>
      </c>
      <c r="E331" s="260">
        <v>200</v>
      </c>
      <c r="F331" s="247">
        <f t="shared" si="9"/>
        <v>0</v>
      </c>
      <c r="G331" s="248">
        <f t="shared" si="10"/>
        <v>0</v>
      </c>
      <c r="H331" s="363" t="s">
        <v>822</v>
      </c>
      <c r="I331" s="136">
        <v>50000</v>
      </c>
      <c r="J331" s="136" t="s">
        <v>96</v>
      </c>
      <c r="K331" s="142">
        <f>SUM(I331*4)</f>
        <v>200000</v>
      </c>
    </row>
    <row r="332" spans="1:11" ht="14.25" customHeight="1">
      <c r="A332" s="299"/>
      <c r="B332" s="224" t="s">
        <v>207</v>
      </c>
      <c r="C332" s="343" t="s">
        <v>210</v>
      </c>
      <c r="D332" s="334">
        <f>SUM(D333:D340)</f>
        <v>1566</v>
      </c>
      <c r="E332" s="334">
        <f>SUM(E333:E340)</f>
        <v>1566</v>
      </c>
      <c r="F332" s="277">
        <f aca="true" t="shared" si="11" ref="F332:F342">E332-D332</f>
        <v>0</v>
      </c>
      <c r="G332" s="241">
        <f>F332*100/D332</f>
        <v>0</v>
      </c>
      <c r="H332" s="242" t="s">
        <v>208</v>
      </c>
      <c r="I332" s="243"/>
      <c r="J332" s="243"/>
      <c r="K332" s="149">
        <f>SUM(K333+K336+K339+K340)</f>
        <v>1566501</v>
      </c>
    </row>
    <row r="333" spans="1:11" ht="14.25" customHeight="1">
      <c r="A333" s="251"/>
      <c r="B333" s="352"/>
      <c r="C333" s="230" t="s">
        <v>460</v>
      </c>
      <c r="D333" s="253">
        <v>685</v>
      </c>
      <c r="E333" s="253">
        <v>685</v>
      </c>
      <c r="F333" s="262">
        <f t="shared" si="11"/>
        <v>0</v>
      </c>
      <c r="G333" s="256">
        <f>F333*100/D333</f>
        <v>0</v>
      </c>
      <c r="H333" s="374" t="s">
        <v>540</v>
      </c>
      <c r="I333" s="375"/>
      <c r="J333" s="375"/>
      <c r="K333" s="341">
        <f>SUM(K334:K335)</f>
        <v>685000</v>
      </c>
    </row>
    <row r="334" spans="1:11" ht="14.25" customHeight="1">
      <c r="A334" s="251"/>
      <c r="B334" s="352"/>
      <c r="C334" s="226"/>
      <c r="D334" s="257"/>
      <c r="E334" s="257"/>
      <c r="F334" s="277"/>
      <c r="G334" s="278"/>
      <c r="H334" s="366" t="s">
        <v>736</v>
      </c>
      <c r="I334" s="274">
        <v>30000</v>
      </c>
      <c r="J334" s="274" t="s">
        <v>737</v>
      </c>
      <c r="K334" s="279">
        <f>SUM(I334*12)</f>
        <v>360000</v>
      </c>
    </row>
    <row r="335" spans="1:11" ht="14.25" customHeight="1">
      <c r="A335" s="251"/>
      <c r="B335" s="352"/>
      <c r="C335" s="259"/>
      <c r="D335" s="260"/>
      <c r="E335" s="260"/>
      <c r="F335" s="311"/>
      <c r="G335" s="241"/>
      <c r="H335" s="212" t="s">
        <v>738</v>
      </c>
      <c r="I335" s="136">
        <v>32500</v>
      </c>
      <c r="J335" s="136" t="s">
        <v>739</v>
      </c>
      <c r="K335" s="142">
        <f>SUM(I335*10)</f>
        <v>325000</v>
      </c>
    </row>
    <row r="336" spans="1:11" ht="14.25" customHeight="1">
      <c r="A336" s="251"/>
      <c r="B336" s="352"/>
      <c r="C336" s="230" t="s">
        <v>205</v>
      </c>
      <c r="D336" s="253">
        <v>461</v>
      </c>
      <c r="E336" s="253">
        <v>461</v>
      </c>
      <c r="F336" s="262">
        <f>E336-D336</f>
        <v>0</v>
      </c>
      <c r="G336" s="256">
        <f>F336*100/D336</f>
        <v>0</v>
      </c>
      <c r="H336" s="431" t="s">
        <v>740</v>
      </c>
      <c r="I336" s="375"/>
      <c r="J336" s="375"/>
      <c r="K336" s="341">
        <f>SUM(K337:K338)</f>
        <v>461501</v>
      </c>
    </row>
    <row r="337" spans="1:11" ht="14.25" customHeight="1">
      <c r="A337" s="251"/>
      <c r="B337" s="352"/>
      <c r="C337" s="226"/>
      <c r="D337" s="257"/>
      <c r="E337" s="257"/>
      <c r="F337" s="277"/>
      <c r="G337" s="278"/>
      <c r="H337" s="366" t="s">
        <v>741</v>
      </c>
      <c r="I337" s="274">
        <v>311501</v>
      </c>
      <c r="J337" s="274"/>
      <c r="K337" s="279">
        <v>311501</v>
      </c>
    </row>
    <row r="338" spans="1:11" ht="14.25" customHeight="1">
      <c r="A338" s="251"/>
      <c r="B338" s="352"/>
      <c r="C338" s="259"/>
      <c r="D338" s="260"/>
      <c r="E338" s="260"/>
      <c r="F338" s="311"/>
      <c r="G338" s="241"/>
      <c r="H338" s="212" t="s">
        <v>742</v>
      </c>
      <c r="I338" s="136">
        <v>25000</v>
      </c>
      <c r="J338" s="136" t="s">
        <v>724</v>
      </c>
      <c r="K338" s="142">
        <f>SUM(I338*6)</f>
        <v>150000</v>
      </c>
    </row>
    <row r="339" spans="1:11" ht="14.25" customHeight="1">
      <c r="A339" s="251"/>
      <c r="B339" s="352"/>
      <c r="C339" s="227" t="s">
        <v>175</v>
      </c>
      <c r="D339" s="306">
        <v>120</v>
      </c>
      <c r="E339" s="306">
        <v>120</v>
      </c>
      <c r="F339" s="247">
        <f>E339-D339</f>
        <v>0</v>
      </c>
      <c r="G339" s="248">
        <f>F339*100/D339</f>
        <v>0</v>
      </c>
      <c r="H339" s="263" t="s">
        <v>461</v>
      </c>
      <c r="I339" s="136"/>
      <c r="J339" s="136"/>
      <c r="K339" s="258">
        <v>120000</v>
      </c>
    </row>
    <row r="340" spans="1:11" ht="14.25" customHeight="1">
      <c r="A340" s="251"/>
      <c r="B340" s="353"/>
      <c r="C340" s="227" t="s">
        <v>184</v>
      </c>
      <c r="D340" s="306">
        <v>300</v>
      </c>
      <c r="E340" s="306">
        <v>300</v>
      </c>
      <c r="F340" s="247">
        <f t="shared" si="11"/>
        <v>0</v>
      </c>
      <c r="G340" s="248">
        <v>0</v>
      </c>
      <c r="H340" s="263" t="s">
        <v>743</v>
      </c>
      <c r="I340" s="136"/>
      <c r="J340" s="136"/>
      <c r="K340" s="258">
        <v>300000</v>
      </c>
    </row>
    <row r="341" spans="1:11" ht="14.25" customHeight="1">
      <c r="A341" s="251"/>
      <c r="B341" s="352" t="s">
        <v>209</v>
      </c>
      <c r="C341" s="224" t="s">
        <v>34</v>
      </c>
      <c r="D341" s="203">
        <f>SUM(D342+D357+D358+D359+D360+D361+D362+D363+D364)</f>
        <v>97262</v>
      </c>
      <c r="E341" s="203">
        <f>SUM(E342+E357+E358+E359+E360+E361+E362+E363+E364)</f>
        <v>107722</v>
      </c>
      <c r="F341" s="326">
        <f t="shared" si="11"/>
        <v>10460</v>
      </c>
      <c r="G341" s="256">
        <f>F341*100/D341</f>
        <v>10.754457033579405</v>
      </c>
      <c r="H341" s="363" t="s">
        <v>487</v>
      </c>
      <c r="I341" s="136"/>
      <c r="J341" s="211"/>
      <c r="K341" s="149">
        <f>SUM(K342+K357+K358+K359+K360+K361+K362+K363+K364)</f>
        <v>107722000</v>
      </c>
    </row>
    <row r="342" spans="1:11" ht="13.5" customHeight="1">
      <c r="A342" s="251"/>
      <c r="B342" s="355"/>
      <c r="C342" s="230" t="s">
        <v>462</v>
      </c>
      <c r="D342" s="325">
        <v>25000</v>
      </c>
      <c r="E342" s="325">
        <v>25000</v>
      </c>
      <c r="F342" s="262">
        <f t="shared" si="11"/>
        <v>0</v>
      </c>
      <c r="G342" s="256">
        <f>F342*100/D342</f>
        <v>0</v>
      </c>
      <c r="H342" s="362" t="s">
        <v>488</v>
      </c>
      <c r="I342" s="211"/>
      <c r="J342" s="211"/>
      <c r="K342" s="149">
        <f>SUM(K343+K350)</f>
        <v>25000000</v>
      </c>
    </row>
    <row r="343" spans="1:11" ht="12.75" customHeight="1">
      <c r="A343" s="251"/>
      <c r="B343" s="355"/>
      <c r="C343" s="226"/>
      <c r="D343" s="257"/>
      <c r="E343" s="257"/>
      <c r="F343" s="277"/>
      <c r="G343" s="278"/>
      <c r="H343" s="212" t="s">
        <v>211</v>
      </c>
      <c r="I343" s="136"/>
      <c r="J343" s="136"/>
      <c r="K343" s="279">
        <f>SUM(K344:K349)</f>
        <v>18435040</v>
      </c>
    </row>
    <row r="344" spans="1:11" ht="13.5" customHeight="1">
      <c r="A344" s="251"/>
      <c r="B344" s="355"/>
      <c r="C344" s="226"/>
      <c r="D344" s="257"/>
      <c r="E344" s="257"/>
      <c r="F344" s="277"/>
      <c r="G344" s="278"/>
      <c r="H344" s="374" t="s">
        <v>463</v>
      </c>
      <c r="I344" s="375">
        <v>1300000</v>
      </c>
      <c r="J344" s="375" t="s">
        <v>49</v>
      </c>
      <c r="K344" s="341">
        <f>SUM(I344*12)</f>
        <v>15600000</v>
      </c>
    </row>
    <row r="345" spans="1:11" ht="13.5" customHeight="1">
      <c r="A345" s="251"/>
      <c r="B345" s="355"/>
      <c r="C345" s="226"/>
      <c r="D345" s="257"/>
      <c r="E345" s="257"/>
      <c r="F345" s="277"/>
      <c r="G345" s="278"/>
      <c r="H345" s="366" t="s">
        <v>212</v>
      </c>
      <c r="I345" s="274">
        <v>15600000</v>
      </c>
      <c r="J345" s="274" t="s">
        <v>59</v>
      </c>
      <c r="K345" s="279">
        <f>SUM(I345*1/12)</f>
        <v>1300000</v>
      </c>
    </row>
    <row r="346" spans="1:11" ht="13.5" customHeight="1">
      <c r="A346" s="251"/>
      <c r="B346" s="355"/>
      <c r="C346" s="226"/>
      <c r="D346" s="257"/>
      <c r="E346" s="257"/>
      <c r="F346" s="277"/>
      <c r="G346" s="278"/>
      <c r="H346" s="366" t="s">
        <v>60</v>
      </c>
      <c r="I346" s="274">
        <v>15600000</v>
      </c>
      <c r="J346" s="274" t="s">
        <v>64</v>
      </c>
      <c r="K346" s="279">
        <f>SUM(I346*3.94%)</f>
        <v>614640</v>
      </c>
    </row>
    <row r="347" spans="1:11" ht="13.5" customHeight="1">
      <c r="A347" s="251"/>
      <c r="B347" s="355"/>
      <c r="C347" s="226"/>
      <c r="D347" s="257"/>
      <c r="E347" s="257"/>
      <c r="F347" s="277"/>
      <c r="G347" s="278"/>
      <c r="H347" s="366" t="s">
        <v>393</v>
      </c>
      <c r="I347" s="274">
        <v>15600000</v>
      </c>
      <c r="J347" s="274" t="s">
        <v>217</v>
      </c>
      <c r="K347" s="279">
        <f>SUM(I347*4.5%)</f>
        <v>702000</v>
      </c>
    </row>
    <row r="348" spans="1:11" ht="13.5" customHeight="1">
      <c r="A348" s="251"/>
      <c r="B348" s="355"/>
      <c r="C348" s="226"/>
      <c r="D348" s="257"/>
      <c r="E348" s="257"/>
      <c r="F348" s="277"/>
      <c r="G348" s="278"/>
      <c r="H348" s="366" t="s">
        <v>394</v>
      </c>
      <c r="I348" s="274">
        <v>15600000</v>
      </c>
      <c r="J348" s="274" t="s">
        <v>218</v>
      </c>
      <c r="K348" s="279">
        <f>SUM(I348*0.9%)</f>
        <v>140400.00000000003</v>
      </c>
    </row>
    <row r="349" spans="1:11" ht="13.5" customHeight="1">
      <c r="A349" s="251"/>
      <c r="B349" s="355"/>
      <c r="C349" s="226"/>
      <c r="D349" s="257"/>
      <c r="E349" s="257"/>
      <c r="F349" s="277"/>
      <c r="G349" s="278"/>
      <c r="H349" s="212" t="s">
        <v>213</v>
      </c>
      <c r="I349" s="136">
        <v>15600000</v>
      </c>
      <c r="J349" s="136" t="s">
        <v>219</v>
      </c>
      <c r="K349" s="142">
        <f>SUM(I349*0.5%)</f>
        <v>78000</v>
      </c>
    </row>
    <row r="350" spans="1:11" ht="12" customHeight="1">
      <c r="A350" s="251"/>
      <c r="B350" s="355"/>
      <c r="C350" s="226"/>
      <c r="D350" s="298"/>
      <c r="E350" s="298"/>
      <c r="F350" s="277"/>
      <c r="G350" s="278"/>
      <c r="H350" s="263" t="s">
        <v>214</v>
      </c>
      <c r="I350" s="211"/>
      <c r="J350" s="211"/>
      <c r="K350" s="279">
        <f>SUM(K351:K354)</f>
        <v>6564960</v>
      </c>
    </row>
    <row r="351" spans="1:11" ht="12" customHeight="1">
      <c r="A351" s="251"/>
      <c r="B351" s="355"/>
      <c r="C351" s="226"/>
      <c r="D351" s="298"/>
      <c r="E351" s="298"/>
      <c r="F351" s="277"/>
      <c r="G351" s="278"/>
      <c r="H351" s="374" t="s">
        <v>215</v>
      </c>
      <c r="I351" s="375">
        <v>440000</v>
      </c>
      <c r="J351" s="375" t="s">
        <v>49</v>
      </c>
      <c r="K351" s="341">
        <f>SUM(I351*12)</f>
        <v>5280000</v>
      </c>
    </row>
    <row r="352" spans="1:11" ht="12" customHeight="1">
      <c r="A352" s="251"/>
      <c r="B352" s="355"/>
      <c r="C352" s="226"/>
      <c r="D352" s="298"/>
      <c r="E352" s="298"/>
      <c r="F352" s="277"/>
      <c r="G352" s="278"/>
      <c r="H352" s="366" t="s">
        <v>216</v>
      </c>
      <c r="I352" s="274">
        <v>400000</v>
      </c>
      <c r="J352" s="274" t="s">
        <v>121</v>
      </c>
      <c r="K352" s="279">
        <f>SUM(I352*2)</f>
        <v>800000</v>
      </c>
    </row>
    <row r="353" spans="1:11" ht="12" customHeight="1">
      <c r="A353" s="251"/>
      <c r="B353" s="355"/>
      <c r="C353" s="226"/>
      <c r="D353" s="298"/>
      <c r="E353" s="298"/>
      <c r="F353" s="277"/>
      <c r="G353" s="278"/>
      <c r="H353" s="366" t="s">
        <v>184</v>
      </c>
      <c r="I353" s="274">
        <v>150000</v>
      </c>
      <c r="J353" s="274" t="s">
        <v>121</v>
      </c>
      <c r="K353" s="279">
        <f>SUM(I353*2)</f>
        <v>300000</v>
      </c>
    </row>
    <row r="354" spans="1:11" ht="12" customHeight="1" thickBot="1">
      <c r="A354" s="264"/>
      <c r="B354" s="356"/>
      <c r="C354" s="229"/>
      <c r="D354" s="266"/>
      <c r="E354" s="266"/>
      <c r="F354" s="283"/>
      <c r="G354" s="284"/>
      <c r="H354" s="313" t="s">
        <v>197</v>
      </c>
      <c r="I354" s="285">
        <v>92480</v>
      </c>
      <c r="J354" s="285" t="s">
        <v>121</v>
      </c>
      <c r="K354" s="303">
        <f>SUM(I354*2)</f>
        <v>184960</v>
      </c>
    </row>
    <row r="355" spans="1:11" ht="16.5" customHeight="1">
      <c r="A355" s="502" t="s">
        <v>5</v>
      </c>
      <c r="B355" s="504" t="s">
        <v>6</v>
      </c>
      <c r="C355" s="504" t="s">
        <v>7</v>
      </c>
      <c r="D355" s="504" t="s">
        <v>36</v>
      </c>
      <c r="E355" s="504" t="s">
        <v>986</v>
      </c>
      <c r="F355" s="544" t="s">
        <v>38</v>
      </c>
      <c r="G355" s="545"/>
      <c r="H355" s="538" t="s">
        <v>987</v>
      </c>
      <c r="I355" s="539"/>
      <c r="J355" s="539"/>
      <c r="K355" s="540"/>
    </row>
    <row r="356" spans="1:11" ht="16.5" customHeight="1" thickBot="1">
      <c r="A356" s="503"/>
      <c r="B356" s="505"/>
      <c r="C356" s="505"/>
      <c r="D356" s="505"/>
      <c r="E356" s="505"/>
      <c r="F356" s="269" t="s">
        <v>9</v>
      </c>
      <c r="G356" s="349" t="s">
        <v>40</v>
      </c>
      <c r="H356" s="541"/>
      <c r="I356" s="542"/>
      <c r="J356" s="542"/>
      <c r="K356" s="543"/>
    </row>
    <row r="357" spans="1:11" ht="19.5" customHeight="1" thickTop="1">
      <c r="A357" s="299" t="s">
        <v>111</v>
      </c>
      <c r="B357" s="226" t="s">
        <v>209</v>
      </c>
      <c r="C357" s="350" t="s">
        <v>220</v>
      </c>
      <c r="D357" s="334">
        <v>20976</v>
      </c>
      <c r="E357" s="334">
        <v>20976</v>
      </c>
      <c r="F357" s="277">
        <f aca="true" t="shared" si="12" ref="F357:F364">E357-D357</f>
        <v>0</v>
      </c>
      <c r="G357" s="278">
        <f>F357*100/D357</f>
        <v>0</v>
      </c>
      <c r="H357" s="370" t="s">
        <v>464</v>
      </c>
      <c r="I357" s="314"/>
      <c r="J357" s="314"/>
      <c r="K357" s="341">
        <v>20976000</v>
      </c>
    </row>
    <row r="358" spans="1:11" ht="19.5" customHeight="1">
      <c r="A358" s="251"/>
      <c r="B358" s="233"/>
      <c r="C358" s="227" t="s">
        <v>222</v>
      </c>
      <c r="D358" s="306">
        <v>19200</v>
      </c>
      <c r="E358" s="306">
        <v>19200</v>
      </c>
      <c r="F358" s="247">
        <f t="shared" si="12"/>
        <v>0</v>
      </c>
      <c r="G358" s="248">
        <f>F358*100/D358</f>
        <v>0</v>
      </c>
      <c r="H358" s="371" t="s">
        <v>489</v>
      </c>
      <c r="I358" s="211"/>
      <c r="J358" s="211"/>
      <c r="K358" s="149">
        <v>19200000</v>
      </c>
    </row>
    <row r="359" spans="1:11" ht="19.5" customHeight="1">
      <c r="A359" s="251"/>
      <c r="B359" s="233"/>
      <c r="C359" s="227" t="s">
        <v>221</v>
      </c>
      <c r="D359" s="306">
        <v>16486</v>
      </c>
      <c r="E359" s="306">
        <v>16486</v>
      </c>
      <c r="F359" s="247">
        <f t="shared" si="12"/>
        <v>0</v>
      </c>
      <c r="G359" s="248">
        <f>F359*100/D359</f>
        <v>0</v>
      </c>
      <c r="H359" s="371" t="s">
        <v>490</v>
      </c>
      <c r="I359" s="136"/>
      <c r="J359" s="136"/>
      <c r="K359" s="258">
        <v>16486000</v>
      </c>
    </row>
    <row r="360" spans="1:11" ht="19.5" customHeight="1">
      <c r="A360" s="251"/>
      <c r="B360" s="233"/>
      <c r="C360" s="227" t="s">
        <v>256</v>
      </c>
      <c r="D360" s="306">
        <v>600</v>
      </c>
      <c r="E360" s="306">
        <v>700</v>
      </c>
      <c r="F360" s="247">
        <f t="shared" si="12"/>
        <v>100</v>
      </c>
      <c r="G360" s="248">
        <f>F360*100/D360</f>
        <v>16.666666666666668</v>
      </c>
      <c r="H360" s="372" t="s">
        <v>465</v>
      </c>
      <c r="I360" s="211"/>
      <c r="J360" s="211"/>
      <c r="K360" s="149">
        <v>700000</v>
      </c>
    </row>
    <row r="361" spans="1:11" ht="19.5" customHeight="1">
      <c r="A361" s="251"/>
      <c r="B361" s="233"/>
      <c r="C361" s="227" t="s">
        <v>223</v>
      </c>
      <c r="D361" s="306">
        <v>4000</v>
      </c>
      <c r="E361" s="306">
        <v>4000</v>
      </c>
      <c r="F361" s="247">
        <f t="shared" si="12"/>
        <v>0</v>
      </c>
      <c r="G361" s="248">
        <f>F361*100/D361</f>
        <v>0</v>
      </c>
      <c r="H361" s="373" t="s">
        <v>491</v>
      </c>
      <c r="I361" s="211"/>
      <c r="J361" s="211"/>
      <c r="K361" s="149">
        <v>4000000</v>
      </c>
    </row>
    <row r="362" spans="1:11" ht="19.5" customHeight="1">
      <c r="A362" s="251"/>
      <c r="B362" s="233"/>
      <c r="C362" s="227" t="s">
        <v>805</v>
      </c>
      <c r="D362" s="306">
        <v>11000</v>
      </c>
      <c r="E362" s="306">
        <v>11000</v>
      </c>
      <c r="F362" s="247">
        <f t="shared" si="12"/>
        <v>0</v>
      </c>
      <c r="G362" s="248">
        <v>0</v>
      </c>
      <c r="H362" s="373" t="s">
        <v>806</v>
      </c>
      <c r="I362" s="211"/>
      <c r="J362" s="211"/>
      <c r="K362" s="149">
        <v>11000000</v>
      </c>
    </row>
    <row r="363" spans="1:11" ht="19.5" customHeight="1">
      <c r="A363" s="251"/>
      <c r="B363" s="233"/>
      <c r="C363" s="227" t="s">
        <v>992</v>
      </c>
      <c r="D363" s="306">
        <v>0</v>
      </c>
      <c r="E363" s="306">
        <v>360</v>
      </c>
      <c r="F363" s="247">
        <f t="shared" si="12"/>
        <v>360</v>
      </c>
      <c r="G363" s="248"/>
      <c r="H363" s="373" t="s">
        <v>1001</v>
      </c>
      <c r="I363" s="211"/>
      <c r="J363" s="211"/>
      <c r="K363" s="149">
        <v>360000</v>
      </c>
    </row>
    <row r="364" spans="1:11" ht="19.5" customHeight="1">
      <c r="A364" s="413"/>
      <c r="B364" s="323"/>
      <c r="C364" s="227" t="s">
        <v>993</v>
      </c>
      <c r="D364" s="306">
        <v>0</v>
      </c>
      <c r="E364" s="306">
        <v>10000</v>
      </c>
      <c r="F364" s="247">
        <f t="shared" si="12"/>
        <v>10000</v>
      </c>
      <c r="G364" s="248"/>
      <c r="H364" s="373" t="s">
        <v>1000</v>
      </c>
      <c r="I364" s="211"/>
      <c r="J364" s="211"/>
      <c r="K364" s="149">
        <v>10000000</v>
      </c>
    </row>
    <row r="365" spans="1:11" ht="23.25" customHeight="1">
      <c r="A365" s="305" t="s">
        <v>466</v>
      </c>
      <c r="B365" s="550" t="s">
        <v>11</v>
      </c>
      <c r="C365" s="535"/>
      <c r="D365" s="310">
        <f>SUM(D366)</f>
        <v>0</v>
      </c>
      <c r="E365" s="310">
        <f>SUM(E366)</f>
        <v>0</v>
      </c>
      <c r="F365" s="311">
        <f aca="true" t="shared" si="13" ref="F365:F370">E365-D365</f>
        <v>0</v>
      </c>
      <c r="G365" s="241">
        <v>0</v>
      </c>
      <c r="H365" s="242"/>
      <c r="I365" s="312"/>
      <c r="J365" s="312"/>
      <c r="K365" s="142">
        <v>0</v>
      </c>
    </row>
    <row r="366" spans="1:11" ht="23.25" customHeight="1">
      <c r="A366" s="464" t="s">
        <v>224</v>
      </c>
      <c r="B366" s="323" t="s">
        <v>225</v>
      </c>
      <c r="C366" s="259" t="s">
        <v>467</v>
      </c>
      <c r="D366" s="306">
        <v>0</v>
      </c>
      <c r="E366" s="306">
        <v>0</v>
      </c>
      <c r="F366" s="247">
        <f t="shared" si="13"/>
        <v>0</v>
      </c>
      <c r="G366" s="248">
        <v>0</v>
      </c>
      <c r="H366" s="263" t="s">
        <v>229</v>
      </c>
      <c r="I366" s="211"/>
      <c r="J366" s="211"/>
      <c r="K366" s="149">
        <v>0</v>
      </c>
    </row>
    <row r="367" spans="1:11" ht="23.25" customHeight="1">
      <c r="A367" s="305" t="s">
        <v>226</v>
      </c>
      <c r="B367" s="550" t="s">
        <v>11</v>
      </c>
      <c r="C367" s="551"/>
      <c r="D367" s="310">
        <f>SUM(D368)</f>
        <v>0</v>
      </c>
      <c r="E367" s="310">
        <f>SUM(E368)</f>
        <v>0</v>
      </c>
      <c r="F367" s="311">
        <f t="shared" si="13"/>
        <v>0</v>
      </c>
      <c r="G367" s="329">
        <v>0</v>
      </c>
      <c r="H367" s="212"/>
      <c r="I367" s="136"/>
      <c r="J367" s="136"/>
      <c r="K367" s="142">
        <v>0</v>
      </c>
    </row>
    <row r="368" spans="1:11" ht="23.25" customHeight="1">
      <c r="A368" s="464"/>
      <c r="B368" s="323" t="s">
        <v>22</v>
      </c>
      <c r="C368" s="259" t="s">
        <v>23</v>
      </c>
      <c r="D368" s="260">
        <v>0</v>
      </c>
      <c r="E368" s="260">
        <v>0</v>
      </c>
      <c r="F368" s="247">
        <f t="shared" si="13"/>
        <v>0</v>
      </c>
      <c r="G368" s="248">
        <v>0</v>
      </c>
      <c r="H368" s="263" t="s">
        <v>227</v>
      </c>
      <c r="I368" s="136"/>
      <c r="J368" s="136"/>
      <c r="K368" s="142">
        <v>0</v>
      </c>
    </row>
    <row r="369" spans="1:11" ht="23.25" customHeight="1">
      <c r="A369" s="251" t="s">
        <v>228</v>
      </c>
      <c r="B369" s="550" t="s">
        <v>11</v>
      </c>
      <c r="C369" s="535"/>
      <c r="D369" s="310">
        <f>SUM(D370)</f>
        <v>8532</v>
      </c>
      <c r="E369" s="310">
        <f>SUM(E370)</f>
        <v>8532</v>
      </c>
      <c r="F369" s="311">
        <f t="shared" si="13"/>
        <v>0</v>
      </c>
      <c r="G369" s="241">
        <f>F369*100/D369</f>
        <v>0</v>
      </c>
      <c r="H369" s="212"/>
      <c r="I369" s="136"/>
      <c r="J369" s="136"/>
      <c r="K369" s="142">
        <v>8532000</v>
      </c>
    </row>
    <row r="370" spans="1:11" ht="23.25" customHeight="1" thickBot="1">
      <c r="A370" s="264"/>
      <c r="B370" s="358" t="s">
        <v>32</v>
      </c>
      <c r="C370" s="359" t="s">
        <v>33</v>
      </c>
      <c r="D370" s="360">
        <v>8532</v>
      </c>
      <c r="E370" s="360">
        <v>8532</v>
      </c>
      <c r="F370" s="283">
        <f t="shared" si="13"/>
        <v>0</v>
      </c>
      <c r="G370" s="284">
        <f>F370*100/D370</f>
        <v>0</v>
      </c>
      <c r="H370" s="313" t="s">
        <v>468</v>
      </c>
      <c r="I370" s="285"/>
      <c r="J370" s="285"/>
      <c r="K370" s="303">
        <v>8532000</v>
      </c>
    </row>
    <row r="371" spans="1:11" ht="13.5">
      <c r="A371" s="361"/>
      <c r="B371" s="361"/>
      <c r="C371" s="361"/>
      <c r="D371" s="361"/>
      <c r="E371" s="361"/>
      <c r="F371" s="361"/>
      <c r="G371" s="361"/>
      <c r="H371" s="361"/>
      <c r="I371" s="361"/>
      <c r="J371" s="361"/>
      <c r="K371" s="361"/>
    </row>
    <row r="372" spans="1:11" ht="13.5">
      <c r="A372" s="361"/>
      <c r="B372" s="361"/>
      <c r="C372" s="361"/>
      <c r="D372" s="361"/>
      <c r="E372" s="361"/>
      <c r="F372" s="361"/>
      <c r="G372" s="361"/>
      <c r="H372" s="361"/>
      <c r="I372" s="361"/>
      <c r="J372" s="361"/>
      <c r="K372" s="361"/>
    </row>
    <row r="373" spans="1:11" ht="13.5">
      <c r="A373" s="361"/>
      <c r="B373" s="361"/>
      <c r="C373" s="361"/>
      <c r="D373" s="361"/>
      <c r="E373" s="361"/>
      <c r="F373" s="361"/>
      <c r="G373" s="361"/>
      <c r="H373" s="361"/>
      <c r="I373" s="361"/>
      <c r="J373" s="361"/>
      <c r="K373" s="361"/>
    </row>
    <row r="374" spans="1:11" ht="13.5">
      <c r="A374" s="361"/>
      <c r="B374" s="361"/>
      <c r="C374" s="361"/>
      <c r="D374" s="361"/>
      <c r="E374" s="361"/>
      <c r="F374" s="361"/>
      <c r="G374" s="361"/>
      <c r="H374" s="361"/>
      <c r="I374" s="361"/>
      <c r="J374" s="361"/>
      <c r="K374" s="361"/>
    </row>
    <row r="375" spans="1:11" ht="13.5">
      <c r="A375" s="361"/>
      <c r="B375" s="361"/>
      <c r="C375" s="361"/>
      <c r="D375" s="361"/>
      <c r="E375" s="361"/>
      <c r="F375" s="361"/>
      <c r="G375" s="361"/>
      <c r="H375" s="361"/>
      <c r="I375" s="361"/>
      <c r="J375" s="361"/>
      <c r="K375" s="361"/>
    </row>
    <row r="376" spans="1:11" ht="13.5">
      <c r="A376" s="361"/>
      <c r="B376" s="361"/>
      <c r="C376" s="361"/>
      <c r="D376" s="361"/>
      <c r="E376" s="361"/>
      <c r="F376" s="361"/>
      <c r="G376" s="361"/>
      <c r="H376" s="361"/>
      <c r="I376" s="361"/>
      <c r="J376" s="361"/>
      <c r="K376" s="361"/>
    </row>
    <row r="377" spans="1:11" ht="13.5">
      <c r="A377" s="361"/>
      <c r="B377" s="361"/>
      <c r="C377" s="361"/>
      <c r="D377" s="361"/>
      <c r="E377" s="361"/>
      <c r="F377" s="361"/>
      <c r="G377" s="361"/>
      <c r="H377" s="361"/>
      <c r="I377" s="361"/>
      <c r="J377" s="361"/>
      <c r="K377" s="361"/>
    </row>
    <row r="378" spans="1:11" ht="13.5">
      <c r="A378" s="361"/>
      <c r="B378" s="361"/>
      <c r="C378" s="361"/>
      <c r="D378" s="361"/>
      <c r="E378" s="361"/>
      <c r="F378" s="361"/>
      <c r="G378" s="361"/>
      <c r="H378" s="361"/>
      <c r="I378" s="361"/>
      <c r="J378" s="361"/>
      <c r="K378" s="361"/>
    </row>
    <row r="379" spans="1:11" ht="13.5">
      <c r="A379" s="361"/>
      <c r="B379" s="361"/>
      <c r="C379" s="361"/>
      <c r="D379" s="361"/>
      <c r="E379" s="361"/>
      <c r="F379" s="361"/>
      <c r="G379" s="361"/>
      <c r="H379" s="361"/>
      <c r="I379" s="361"/>
      <c r="J379" s="361"/>
      <c r="K379" s="361"/>
    </row>
    <row r="380" spans="1:11" ht="13.5">
      <c r="A380" s="361"/>
      <c r="B380" s="361"/>
      <c r="C380" s="361"/>
      <c r="D380" s="361"/>
      <c r="E380" s="361"/>
      <c r="F380" s="361"/>
      <c r="G380" s="361"/>
      <c r="H380" s="361"/>
      <c r="I380" s="361"/>
      <c r="J380" s="361"/>
      <c r="K380" s="361"/>
    </row>
    <row r="381" spans="1:11" ht="13.5">
      <c r="A381" s="361"/>
      <c r="B381" s="361"/>
      <c r="C381" s="361"/>
      <c r="D381" s="361"/>
      <c r="E381" s="361"/>
      <c r="F381" s="361"/>
      <c r="G381" s="361"/>
      <c r="H381" s="361"/>
      <c r="I381" s="361"/>
      <c r="J381" s="361"/>
      <c r="K381" s="361"/>
    </row>
    <row r="382" spans="1:11" ht="13.5">
      <c r="A382" s="361"/>
      <c r="B382" s="361"/>
      <c r="C382" s="361"/>
      <c r="D382" s="361"/>
      <c r="E382" s="361"/>
      <c r="F382" s="361"/>
      <c r="G382" s="361"/>
      <c r="H382" s="361"/>
      <c r="I382" s="361"/>
      <c r="J382" s="361"/>
      <c r="K382" s="361"/>
    </row>
    <row r="383" spans="1:11" ht="13.5">
      <c r="A383" s="361"/>
      <c r="B383" s="361"/>
      <c r="C383" s="361"/>
      <c r="D383" s="361"/>
      <c r="E383" s="361"/>
      <c r="F383" s="361"/>
      <c r="G383" s="361"/>
      <c r="H383" s="361"/>
      <c r="I383" s="361"/>
      <c r="J383" s="361"/>
      <c r="K383" s="361"/>
    </row>
    <row r="384" spans="1:11" ht="13.5">
      <c r="A384" s="361"/>
      <c r="B384" s="361"/>
      <c r="C384" s="361"/>
      <c r="D384" s="361"/>
      <c r="E384" s="361"/>
      <c r="F384" s="361"/>
      <c r="G384" s="361"/>
      <c r="H384" s="361"/>
      <c r="I384" s="361"/>
      <c r="J384" s="361"/>
      <c r="K384" s="361"/>
    </row>
    <row r="385" spans="1:11" ht="13.5">
      <c r="A385" s="361"/>
      <c r="B385" s="361"/>
      <c r="C385" s="361"/>
      <c r="D385" s="361"/>
      <c r="E385" s="361"/>
      <c r="F385" s="361"/>
      <c r="G385" s="361"/>
      <c r="H385" s="361"/>
      <c r="I385" s="361"/>
      <c r="J385" s="361"/>
      <c r="K385" s="361"/>
    </row>
    <row r="386" spans="1:11" ht="13.5">
      <c r="A386" s="361"/>
      <c r="B386" s="361"/>
      <c r="C386" s="361"/>
      <c r="D386" s="361"/>
      <c r="E386" s="361"/>
      <c r="F386" s="361"/>
      <c r="G386" s="361"/>
      <c r="H386" s="361"/>
      <c r="I386" s="361"/>
      <c r="J386" s="361"/>
      <c r="K386" s="361"/>
    </row>
    <row r="387" spans="1:11" ht="18" customHeight="1">
      <c r="A387" s="556" t="s">
        <v>848</v>
      </c>
      <c r="B387" s="556"/>
      <c r="C387" s="556"/>
      <c r="D387" s="556"/>
      <c r="E387" s="556"/>
      <c r="F387" s="556"/>
      <c r="G387" s="556"/>
      <c r="H387" s="556"/>
      <c r="I387" s="556"/>
      <c r="J387" s="556"/>
      <c r="K387" s="556"/>
    </row>
    <row r="388" spans="1:11" ht="14.25" thickBot="1">
      <c r="A388" s="560" t="s">
        <v>574</v>
      </c>
      <c r="B388" s="560"/>
      <c r="C388" s="560"/>
      <c r="D388" s="560"/>
      <c r="E388" s="560"/>
      <c r="F388" s="560"/>
      <c r="G388" s="560"/>
      <c r="H388" s="560"/>
      <c r="I388" s="560"/>
      <c r="J388" s="560"/>
      <c r="K388" s="560"/>
    </row>
    <row r="389" spans="1:11" ht="15" customHeight="1">
      <c r="A389" s="502" t="s">
        <v>575</v>
      </c>
      <c r="B389" s="504" t="s">
        <v>576</v>
      </c>
      <c r="C389" s="504" t="s">
        <v>577</v>
      </c>
      <c r="D389" s="504" t="s">
        <v>36</v>
      </c>
      <c r="E389" s="504" t="s">
        <v>986</v>
      </c>
      <c r="F389" s="544" t="s">
        <v>578</v>
      </c>
      <c r="G389" s="545"/>
      <c r="H389" s="538" t="s">
        <v>987</v>
      </c>
      <c r="I389" s="539"/>
      <c r="J389" s="539"/>
      <c r="K389" s="540"/>
    </row>
    <row r="390" spans="1:11" ht="15.75" customHeight="1" thickBot="1">
      <c r="A390" s="503"/>
      <c r="B390" s="505"/>
      <c r="C390" s="505"/>
      <c r="D390" s="505"/>
      <c r="E390" s="505"/>
      <c r="F390" s="234" t="s">
        <v>579</v>
      </c>
      <c r="G390" s="235" t="s">
        <v>580</v>
      </c>
      <c r="H390" s="541"/>
      <c r="I390" s="542"/>
      <c r="J390" s="542"/>
      <c r="K390" s="543"/>
    </row>
    <row r="391" spans="1:11" ht="20.25" customHeight="1" thickTop="1">
      <c r="A391" s="563" t="s">
        <v>985</v>
      </c>
      <c r="B391" s="564"/>
      <c r="C391" s="565"/>
      <c r="D391" s="202">
        <f>SUM(D392+D409+D436+D438+D440+D445)</f>
        <v>479032</v>
      </c>
      <c r="E391" s="202">
        <f>SUM(E392+E409+E436+E438+E440+E445)</f>
        <v>531962</v>
      </c>
      <c r="F391" s="240">
        <f>E391-D391</f>
        <v>52930</v>
      </c>
      <c r="G391" s="241">
        <f>F391*100/D391</f>
        <v>11.049366221880794</v>
      </c>
      <c r="H391" s="242"/>
      <c r="I391" s="243"/>
      <c r="J391" s="243"/>
      <c r="K391" s="149">
        <f>SUM(K392+K409+K436+K438+K440+K445)</f>
        <v>531961851</v>
      </c>
    </row>
    <row r="392" spans="1:11" ht="20.25" customHeight="1">
      <c r="A392" s="471" t="s">
        <v>839</v>
      </c>
      <c r="B392" s="552" t="s">
        <v>581</v>
      </c>
      <c r="C392" s="562"/>
      <c r="D392" s="203">
        <f>SUM(D393)</f>
        <v>21950</v>
      </c>
      <c r="E392" s="203">
        <f>SUM(E393)</f>
        <v>24950</v>
      </c>
      <c r="F392" s="315">
        <f>E392-D392</f>
        <v>3000</v>
      </c>
      <c r="G392" s="248">
        <f>F392*100/D392</f>
        <v>13.66742596810934</v>
      </c>
      <c r="H392" s="381" t="s">
        <v>582</v>
      </c>
      <c r="I392" s="388"/>
      <c r="J392" s="388"/>
      <c r="K392" s="149">
        <f>SUM(K394:K408)</f>
        <v>24950000</v>
      </c>
    </row>
    <row r="393" spans="1:11" ht="16.5" customHeight="1">
      <c r="A393" s="244"/>
      <c r="B393" s="219" t="s">
        <v>583</v>
      </c>
      <c r="C393" s="245" t="s">
        <v>584</v>
      </c>
      <c r="D393" s="203">
        <f>SUM(D394:D408)</f>
        <v>21950</v>
      </c>
      <c r="E393" s="203">
        <f>SUM(E394:E408)</f>
        <v>24950</v>
      </c>
      <c r="F393" s="315">
        <f>E393-D393</f>
        <v>3000</v>
      </c>
      <c r="G393" s="248">
        <f>F393*100/D393</f>
        <v>13.66742596810934</v>
      </c>
      <c r="H393" s="381"/>
      <c r="I393" s="250"/>
      <c r="J393" s="250"/>
      <c r="K393" s="149">
        <f>SUM(K394:K408)</f>
        <v>24950000</v>
      </c>
    </row>
    <row r="394" spans="1:11" ht="16.5" customHeight="1">
      <c r="A394" s="251"/>
      <c r="B394" s="252"/>
      <c r="C394" s="227" t="s">
        <v>585</v>
      </c>
      <c r="D394" s="203">
        <v>450</v>
      </c>
      <c r="E394" s="203">
        <v>450</v>
      </c>
      <c r="F394" s="247">
        <f>E394-D394</f>
        <v>0</v>
      </c>
      <c r="G394" s="248">
        <f>F394*100/D394</f>
        <v>0</v>
      </c>
      <c r="H394" s="362" t="s">
        <v>803</v>
      </c>
      <c r="I394" s="211">
        <v>30000</v>
      </c>
      <c r="J394" s="211" t="s">
        <v>586</v>
      </c>
      <c r="K394" s="258">
        <f>SUM(I394*15)</f>
        <v>450000</v>
      </c>
    </row>
    <row r="395" spans="1:11" ht="13.5" customHeight="1">
      <c r="A395" s="251"/>
      <c r="B395" s="252"/>
      <c r="C395" s="230" t="s">
        <v>587</v>
      </c>
      <c r="D395" s="253">
        <v>5500</v>
      </c>
      <c r="E395" s="253">
        <v>8500</v>
      </c>
      <c r="F395" s="262">
        <f>E395-D395</f>
        <v>3000</v>
      </c>
      <c r="G395" s="256">
        <f>F395*100/D395</f>
        <v>54.54545454545455</v>
      </c>
      <c r="H395" s="374" t="s">
        <v>804</v>
      </c>
      <c r="I395" s="375">
        <v>70000</v>
      </c>
      <c r="J395" s="375" t="s">
        <v>1003</v>
      </c>
      <c r="K395" s="341">
        <f>SUM(I395*50)</f>
        <v>3500000</v>
      </c>
    </row>
    <row r="396" spans="1:11" ht="13.5" customHeight="1">
      <c r="A396" s="251"/>
      <c r="B396" s="252"/>
      <c r="C396" s="226"/>
      <c r="D396" s="257"/>
      <c r="E396" s="257"/>
      <c r="F396" s="277"/>
      <c r="G396" s="278"/>
      <c r="H396" s="366" t="s">
        <v>851</v>
      </c>
      <c r="I396" s="274">
        <v>100000</v>
      </c>
      <c r="J396" s="274" t="s">
        <v>1007</v>
      </c>
      <c r="K396" s="279">
        <f>SUM(I396*25)</f>
        <v>2500000</v>
      </c>
    </row>
    <row r="397" spans="1:11" ht="13.5" customHeight="1">
      <c r="A397" s="251"/>
      <c r="B397" s="252"/>
      <c r="C397" s="226"/>
      <c r="D397" s="257"/>
      <c r="E397" s="257"/>
      <c r="F397" s="277"/>
      <c r="G397" s="278"/>
      <c r="H397" s="366" t="s">
        <v>835</v>
      </c>
      <c r="I397" s="274">
        <v>1200000</v>
      </c>
      <c r="J397" s="274" t="s">
        <v>121</v>
      </c>
      <c r="K397" s="279">
        <f>SUM(I397*2)</f>
        <v>2400000</v>
      </c>
    </row>
    <row r="398" spans="1:11" ht="13.5" customHeight="1">
      <c r="A398" s="251"/>
      <c r="B398" s="252"/>
      <c r="C398" s="259"/>
      <c r="D398" s="260"/>
      <c r="E398" s="260"/>
      <c r="F398" s="311"/>
      <c r="G398" s="241"/>
      <c r="H398" s="212" t="s">
        <v>997</v>
      </c>
      <c r="I398" s="136">
        <v>100000</v>
      </c>
      <c r="J398" s="136" t="s">
        <v>104</v>
      </c>
      <c r="K398" s="142">
        <f>SUM(I398*1)</f>
        <v>100000</v>
      </c>
    </row>
    <row r="399" spans="1:11" ht="15.75" customHeight="1">
      <c r="A399" s="251"/>
      <c r="B399" s="280"/>
      <c r="C399" s="230" t="s">
        <v>588</v>
      </c>
      <c r="D399" s="253">
        <v>7000</v>
      </c>
      <c r="E399" s="253">
        <v>7000</v>
      </c>
      <c r="F399" s="262">
        <f>E399-D399</f>
        <v>0</v>
      </c>
      <c r="G399" s="256">
        <f>F399*100/D399</f>
        <v>0</v>
      </c>
      <c r="H399" s="428" t="s">
        <v>790</v>
      </c>
      <c r="I399" s="375">
        <v>35000</v>
      </c>
      <c r="J399" s="375" t="s">
        <v>55</v>
      </c>
      <c r="K399" s="341">
        <f>SUM(I399*2*12)</f>
        <v>840000</v>
      </c>
    </row>
    <row r="400" spans="1:11" ht="15.75" customHeight="1">
      <c r="A400" s="251"/>
      <c r="B400" s="280"/>
      <c r="C400" s="226"/>
      <c r="D400" s="257"/>
      <c r="E400" s="257"/>
      <c r="F400" s="277"/>
      <c r="G400" s="278"/>
      <c r="H400" s="429" t="s">
        <v>791</v>
      </c>
      <c r="I400" s="274">
        <v>35000</v>
      </c>
      <c r="J400" s="274" t="s">
        <v>55</v>
      </c>
      <c r="K400" s="279">
        <f>SUM(I400*2*12)</f>
        <v>840000</v>
      </c>
    </row>
    <row r="401" spans="1:11" ht="15.75" customHeight="1">
      <c r="A401" s="251"/>
      <c r="B401" s="280"/>
      <c r="C401" s="226"/>
      <c r="D401" s="257"/>
      <c r="E401" s="257"/>
      <c r="F401" s="277"/>
      <c r="G401" s="278"/>
      <c r="H401" s="429" t="s">
        <v>792</v>
      </c>
      <c r="I401" s="274">
        <v>20000</v>
      </c>
      <c r="J401" s="274" t="s">
        <v>797</v>
      </c>
      <c r="K401" s="279">
        <f>SUM(I401*20*4)</f>
        <v>1600000</v>
      </c>
    </row>
    <row r="402" spans="1:11" ht="15.75" customHeight="1">
      <c r="A402" s="251"/>
      <c r="B402" s="280"/>
      <c r="C402" s="226"/>
      <c r="D402" s="257"/>
      <c r="E402" s="257"/>
      <c r="F402" s="277"/>
      <c r="G402" s="278"/>
      <c r="H402" s="429" t="s">
        <v>798</v>
      </c>
      <c r="I402" s="274">
        <v>7000</v>
      </c>
      <c r="J402" s="274" t="s">
        <v>762</v>
      </c>
      <c r="K402" s="279">
        <f>SUM(I402*10)</f>
        <v>70000</v>
      </c>
    </row>
    <row r="403" spans="1:11" ht="15.75" customHeight="1">
      <c r="A403" s="251"/>
      <c r="B403" s="280"/>
      <c r="C403" s="226"/>
      <c r="D403" s="257"/>
      <c r="E403" s="257"/>
      <c r="F403" s="277"/>
      <c r="G403" s="278"/>
      <c r="H403" s="429" t="s">
        <v>793</v>
      </c>
      <c r="I403" s="274">
        <v>20000</v>
      </c>
      <c r="J403" s="485" t="s">
        <v>799</v>
      </c>
      <c r="K403" s="279">
        <f>SUM(I403*15*3*2)</f>
        <v>1800000</v>
      </c>
    </row>
    <row r="404" spans="1:11" ht="15.75" customHeight="1">
      <c r="A404" s="251"/>
      <c r="B404" s="280"/>
      <c r="C404" s="226"/>
      <c r="D404" s="257"/>
      <c r="E404" s="257"/>
      <c r="F404" s="277"/>
      <c r="G404" s="278"/>
      <c r="H404" s="429" t="s">
        <v>794</v>
      </c>
      <c r="I404" s="274">
        <v>20000</v>
      </c>
      <c r="J404" s="455" t="s">
        <v>800</v>
      </c>
      <c r="K404" s="279">
        <f>SUM(I404*20*2)</f>
        <v>800000</v>
      </c>
    </row>
    <row r="405" spans="1:11" ht="15.75" customHeight="1">
      <c r="A405" s="251"/>
      <c r="B405" s="280"/>
      <c r="C405" s="226"/>
      <c r="D405" s="257"/>
      <c r="E405" s="257"/>
      <c r="F405" s="277"/>
      <c r="G405" s="278"/>
      <c r="H405" s="429" t="s">
        <v>795</v>
      </c>
      <c r="I405" s="274">
        <v>15000</v>
      </c>
      <c r="J405" s="274" t="s">
        <v>801</v>
      </c>
      <c r="K405" s="279">
        <f>SUM(I405*30)</f>
        <v>450000</v>
      </c>
    </row>
    <row r="406" spans="1:11" ht="15.75" customHeight="1">
      <c r="A406" s="251"/>
      <c r="B406" s="280"/>
      <c r="C406" s="259"/>
      <c r="D406" s="260"/>
      <c r="E406" s="260"/>
      <c r="F406" s="311"/>
      <c r="G406" s="241"/>
      <c r="H406" s="363" t="s">
        <v>796</v>
      </c>
      <c r="I406" s="136">
        <v>30000</v>
      </c>
      <c r="J406" s="136" t="s">
        <v>802</v>
      </c>
      <c r="K406" s="142">
        <f>SUM(I406*20)</f>
        <v>600000</v>
      </c>
    </row>
    <row r="407" spans="1:11" ht="16.5" customHeight="1">
      <c r="A407" s="251"/>
      <c r="B407" s="280"/>
      <c r="C407" s="259" t="s">
        <v>746</v>
      </c>
      <c r="D407" s="260">
        <v>1200</v>
      </c>
      <c r="E407" s="260">
        <v>1200</v>
      </c>
      <c r="F407" s="247">
        <f aca="true" t="shared" si="14" ref="F407:F414">E407-D407</f>
        <v>0</v>
      </c>
      <c r="G407" s="248">
        <v>0</v>
      </c>
      <c r="H407" s="369" t="s">
        <v>744</v>
      </c>
      <c r="I407" s="211">
        <v>25000</v>
      </c>
      <c r="J407" s="211" t="s">
        <v>745</v>
      </c>
      <c r="K407" s="149">
        <f>SUM(I407*4*12)</f>
        <v>1200000</v>
      </c>
    </row>
    <row r="408" spans="1:11" ht="16.5" customHeight="1">
      <c r="A408" s="413"/>
      <c r="B408" s="307"/>
      <c r="C408" s="259" t="s">
        <v>747</v>
      </c>
      <c r="D408" s="260">
        <v>7800</v>
      </c>
      <c r="E408" s="260">
        <v>7800</v>
      </c>
      <c r="F408" s="311">
        <f t="shared" si="14"/>
        <v>0</v>
      </c>
      <c r="G408" s="241">
        <f>F408*100/D408</f>
        <v>0</v>
      </c>
      <c r="H408" s="212" t="s">
        <v>589</v>
      </c>
      <c r="I408" s="308">
        <v>130000</v>
      </c>
      <c r="J408" s="462" t="s">
        <v>752</v>
      </c>
      <c r="K408" s="309">
        <f>SUM(I408*5*12)</f>
        <v>7800000</v>
      </c>
    </row>
    <row r="409" spans="1:11" ht="16.5" customHeight="1">
      <c r="A409" s="270" t="s">
        <v>590</v>
      </c>
      <c r="B409" s="552" t="s">
        <v>581</v>
      </c>
      <c r="C409" s="562"/>
      <c r="D409" s="203">
        <f>SUM(D410+D423+D433)</f>
        <v>434801</v>
      </c>
      <c r="E409" s="203">
        <f>SUM(E410+E423+E433)</f>
        <v>476731</v>
      </c>
      <c r="F409" s="315">
        <f t="shared" si="14"/>
        <v>41930</v>
      </c>
      <c r="G409" s="248">
        <f>F409*100/D409</f>
        <v>9.643492080285004</v>
      </c>
      <c r="H409" s="381" t="s">
        <v>591</v>
      </c>
      <c r="I409" s="388"/>
      <c r="J409" s="388"/>
      <c r="K409" s="149">
        <f>SUM(K410+K423+K433)</f>
        <v>476731000</v>
      </c>
    </row>
    <row r="410" spans="1:11" ht="16.5" customHeight="1">
      <c r="A410" s="270" t="s">
        <v>592</v>
      </c>
      <c r="B410" s="219" t="s">
        <v>593</v>
      </c>
      <c r="C410" s="232" t="s">
        <v>584</v>
      </c>
      <c r="D410" s="203">
        <f>SUM(D411:D420)</f>
        <v>292539</v>
      </c>
      <c r="E410" s="203">
        <f>SUM(E411:E420)</f>
        <v>324009</v>
      </c>
      <c r="F410" s="326">
        <f t="shared" si="14"/>
        <v>31470</v>
      </c>
      <c r="G410" s="256">
        <f>F410*100/D410</f>
        <v>10.757540020304985</v>
      </c>
      <c r="H410" s="381" t="s">
        <v>594</v>
      </c>
      <c r="I410" s="250"/>
      <c r="J410" s="250"/>
      <c r="K410" s="149">
        <f>SUM(K411:K420)</f>
        <v>324009000</v>
      </c>
    </row>
    <row r="411" spans="1:11" ht="16.5" customHeight="1">
      <c r="A411" s="251"/>
      <c r="B411" s="280"/>
      <c r="C411" s="227" t="s">
        <v>595</v>
      </c>
      <c r="D411" s="203">
        <v>180538</v>
      </c>
      <c r="E411" s="203">
        <v>180538</v>
      </c>
      <c r="F411" s="262">
        <f t="shared" si="14"/>
        <v>0</v>
      </c>
      <c r="G411" s="256">
        <v>0</v>
      </c>
      <c r="H411" s="362" t="s">
        <v>640</v>
      </c>
      <c r="I411" s="211"/>
      <c r="J411" s="211"/>
      <c r="K411" s="149">
        <v>180538000</v>
      </c>
    </row>
    <row r="412" spans="1:11" ht="16.5" customHeight="1">
      <c r="A412" s="251"/>
      <c r="B412" s="280"/>
      <c r="C412" s="227" t="s">
        <v>596</v>
      </c>
      <c r="D412" s="203">
        <v>19326</v>
      </c>
      <c r="E412" s="203">
        <v>19326</v>
      </c>
      <c r="F412" s="262">
        <f t="shared" si="14"/>
        <v>0</v>
      </c>
      <c r="G412" s="256">
        <v>0</v>
      </c>
      <c r="H412" s="369" t="s">
        <v>810</v>
      </c>
      <c r="I412" s="211"/>
      <c r="J412" s="211"/>
      <c r="K412" s="149">
        <v>19326000</v>
      </c>
    </row>
    <row r="413" spans="1:11" ht="16.5" customHeight="1">
      <c r="A413" s="251"/>
      <c r="B413" s="280"/>
      <c r="C413" s="227" t="s">
        <v>597</v>
      </c>
      <c r="D413" s="203">
        <v>28097</v>
      </c>
      <c r="E413" s="203">
        <v>28097</v>
      </c>
      <c r="F413" s="262">
        <f t="shared" si="14"/>
        <v>0</v>
      </c>
      <c r="G413" s="256">
        <v>0</v>
      </c>
      <c r="H413" s="263" t="s">
        <v>598</v>
      </c>
      <c r="I413" s="211"/>
      <c r="J413" s="211"/>
      <c r="K413" s="149">
        <v>28097000</v>
      </c>
    </row>
    <row r="414" spans="1:11" ht="16.5" customHeight="1">
      <c r="A414" s="251"/>
      <c r="B414" s="280"/>
      <c r="C414" s="230" t="s">
        <v>599</v>
      </c>
      <c r="D414" s="325">
        <v>10500</v>
      </c>
      <c r="E414" s="325">
        <v>10500</v>
      </c>
      <c r="F414" s="262">
        <f t="shared" si="14"/>
        <v>0</v>
      </c>
      <c r="G414" s="256">
        <f>F414*100/D414</f>
        <v>0</v>
      </c>
      <c r="H414" s="374" t="s">
        <v>600</v>
      </c>
      <c r="I414" s="375">
        <v>100000</v>
      </c>
      <c r="J414" s="375" t="s">
        <v>717</v>
      </c>
      <c r="K414" s="341">
        <f>SUM(I414*8*12)</f>
        <v>9600000</v>
      </c>
    </row>
    <row r="415" spans="1:11" ht="16.5" customHeight="1">
      <c r="A415" s="251"/>
      <c r="B415" s="280"/>
      <c r="C415" s="259"/>
      <c r="D415" s="137"/>
      <c r="E415" s="137"/>
      <c r="F415" s="277"/>
      <c r="G415" s="278"/>
      <c r="H415" s="212" t="s">
        <v>600</v>
      </c>
      <c r="I415" s="136">
        <v>100000</v>
      </c>
      <c r="J415" s="136" t="s">
        <v>718</v>
      </c>
      <c r="K415" s="142">
        <f>SUM(I415*1*9)</f>
        <v>900000</v>
      </c>
    </row>
    <row r="416" spans="1:11" ht="13.5" customHeight="1">
      <c r="A416" s="251"/>
      <c r="B416" s="252"/>
      <c r="C416" s="227" t="s">
        <v>601</v>
      </c>
      <c r="D416" s="203">
        <v>9501</v>
      </c>
      <c r="E416" s="203">
        <v>9501</v>
      </c>
      <c r="F416" s="262">
        <f>E416-D416</f>
        <v>0</v>
      </c>
      <c r="G416" s="256">
        <f>F416*100/D416</f>
        <v>0</v>
      </c>
      <c r="H416" s="362" t="s">
        <v>809</v>
      </c>
      <c r="I416" s="211"/>
      <c r="J416" s="211"/>
      <c r="K416" s="149">
        <v>9501000</v>
      </c>
    </row>
    <row r="417" spans="1:11" ht="13.5" customHeight="1">
      <c r="A417" s="251"/>
      <c r="B417" s="252"/>
      <c r="C417" s="227" t="s">
        <v>602</v>
      </c>
      <c r="D417" s="203">
        <v>2674</v>
      </c>
      <c r="E417" s="203">
        <v>2674</v>
      </c>
      <c r="F417" s="262">
        <f>E417-D417</f>
        <v>0</v>
      </c>
      <c r="G417" s="256">
        <f>F417*100/D417</f>
        <v>0</v>
      </c>
      <c r="H417" s="369" t="s">
        <v>808</v>
      </c>
      <c r="I417" s="211"/>
      <c r="J417" s="211"/>
      <c r="K417" s="149">
        <v>2674000</v>
      </c>
    </row>
    <row r="418" spans="1:11" ht="13.5" customHeight="1">
      <c r="A418" s="251"/>
      <c r="B418" s="252"/>
      <c r="C418" s="227" t="s">
        <v>603</v>
      </c>
      <c r="D418" s="203">
        <v>1903</v>
      </c>
      <c r="E418" s="203">
        <v>1903</v>
      </c>
      <c r="F418" s="262">
        <f>E418-D418</f>
        <v>0</v>
      </c>
      <c r="G418" s="256">
        <f>F418*100/D418</f>
        <v>0</v>
      </c>
      <c r="H418" s="362" t="s">
        <v>1009</v>
      </c>
      <c r="I418" s="211"/>
      <c r="J418" s="211"/>
      <c r="K418" s="149">
        <v>1903000</v>
      </c>
    </row>
    <row r="419" spans="1:11" ht="13.5" customHeight="1">
      <c r="A419" s="319"/>
      <c r="B419" s="252"/>
      <c r="C419" s="227" t="s">
        <v>604</v>
      </c>
      <c r="D419" s="203">
        <v>40000</v>
      </c>
      <c r="E419" s="203">
        <v>40000</v>
      </c>
      <c r="F419" s="247">
        <f>E419-D419</f>
        <v>0</v>
      </c>
      <c r="G419" s="248">
        <f>F419*100/D419</f>
        <v>0</v>
      </c>
      <c r="H419" s="263" t="s">
        <v>605</v>
      </c>
      <c r="I419" s="211"/>
      <c r="J419" s="211"/>
      <c r="K419" s="149">
        <v>40000000</v>
      </c>
    </row>
    <row r="420" spans="1:11" ht="16.5" customHeight="1" thickBot="1">
      <c r="A420" s="472"/>
      <c r="B420" s="265"/>
      <c r="C420" s="229" t="s">
        <v>1006</v>
      </c>
      <c r="D420" s="484">
        <v>0</v>
      </c>
      <c r="E420" s="484">
        <v>31470</v>
      </c>
      <c r="F420" s="283">
        <f>E420-D420</f>
        <v>31470</v>
      </c>
      <c r="G420" s="284">
        <v>0</v>
      </c>
      <c r="H420" s="313" t="s">
        <v>998</v>
      </c>
      <c r="I420" s="285">
        <v>31470000</v>
      </c>
      <c r="J420" s="285" t="s">
        <v>104</v>
      </c>
      <c r="K420" s="303">
        <f>SUM(I420*1)</f>
        <v>31470000</v>
      </c>
    </row>
    <row r="421" spans="1:11" ht="16.5" customHeight="1">
      <c r="A421" s="502" t="s">
        <v>575</v>
      </c>
      <c r="B421" s="504" t="s">
        <v>576</v>
      </c>
      <c r="C421" s="504" t="s">
        <v>577</v>
      </c>
      <c r="D421" s="504" t="s">
        <v>36</v>
      </c>
      <c r="E421" s="504" t="s">
        <v>986</v>
      </c>
      <c r="F421" s="544" t="s">
        <v>578</v>
      </c>
      <c r="G421" s="545"/>
      <c r="H421" s="538" t="s">
        <v>987</v>
      </c>
      <c r="I421" s="539"/>
      <c r="J421" s="539"/>
      <c r="K421" s="540"/>
    </row>
    <row r="422" spans="1:11" ht="19.5" customHeight="1" thickBot="1">
      <c r="A422" s="503"/>
      <c r="B422" s="505"/>
      <c r="C422" s="505"/>
      <c r="D422" s="505"/>
      <c r="E422" s="505"/>
      <c r="F422" s="234" t="s">
        <v>579</v>
      </c>
      <c r="G422" s="235" t="s">
        <v>580</v>
      </c>
      <c r="H422" s="541"/>
      <c r="I422" s="542"/>
      <c r="J422" s="542"/>
      <c r="K422" s="543"/>
    </row>
    <row r="423" spans="1:11" ht="21.75" customHeight="1" thickTop="1">
      <c r="A423" s="270" t="s">
        <v>590</v>
      </c>
      <c r="B423" s="233" t="s">
        <v>606</v>
      </c>
      <c r="C423" s="232" t="s">
        <v>584</v>
      </c>
      <c r="D423" s="203">
        <f>SUM(D424:D432)</f>
        <v>97262</v>
      </c>
      <c r="E423" s="203">
        <f>SUM(E424:E432)</f>
        <v>107722</v>
      </c>
      <c r="F423" s="326">
        <f aca="true" t="shared" si="15" ref="F423:F428">E423-D423</f>
        <v>10460</v>
      </c>
      <c r="G423" s="256">
        <f aca="true" t="shared" si="16" ref="G423:G428">F423*100/D423</f>
        <v>10.754457033579405</v>
      </c>
      <c r="H423" s="381" t="s">
        <v>607</v>
      </c>
      <c r="I423" s="250"/>
      <c r="J423" s="250"/>
      <c r="K423" s="149">
        <f>SUM(K424:K432)</f>
        <v>107722000</v>
      </c>
    </row>
    <row r="424" spans="1:11" ht="18" customHeight="1">
      <c r="A424" s="270" t="s">
        <v>592</v>
      </c>
      <c r="B424" s="252"/>
      <c r="C424" s="227" t="s">
        <v>608</v>
      </c>
      <c r="D424" s="203">
        <v>20976</v>
      </c>
      <c r="E424" s="203">
        <v>20976</v>
      </c>
      <c r="F424" s="326">
        <f t="shared" si="15"/>
        <v>0</v>
      </c>
      <c r="G424" s="256">
        <f t="shared" si="16"/>
        <v>0</v>
      </c>
      <c r="H424" s="263" t="s">
        <v>609</v>
      </c>
      <c r="I424" s="414"/>
      <c r="J424" s="211"/>
      <c r="K424" s="149">
        <v>20976000</v>
      </c>
    </row>
    <row r="425" spans="1:11" ht="18" customHeight="1">
      <c r="A425" s="251"/>
      <c r="B425" s="252"/>
      <c r="C425" s="227" t="s">
        <v>610</v>
      </c>
      <c r="D425" s="203">
        <v>19200</v>
      </c>
      <c r="E425" s="203">
        <v>19200</v>
      </c>
      <c r="F425" s="326">
        <f t="shared" si="15"/>
        <v>0</v>
      </c>
      <c r="G425" s="256">
        <f t="shared" si="16"/>
        <v>0</v>
      </c>
      <c r="H425" s="263" t="s">
        <v>609</v>
      </c>
      <c r="I425" s="414"/>
      <c r="J425" s="211"/>
      <c r="K425" s="149">
        <v>19200000</v>
      </c>
    </row>
    <row r="426" spans="1:11" ht="18" customHeight="1">
      <c r="A426" s="251"/>
      <c r="B426" s="252"/>
      <c r="C426" s="227" t="s">
        <v>611</v>
      </c>
      <c r="D426" s="203">
        <v>16486</v>
      </c>
      <c r="E426" s="203">
        <v>16486</v>
      </c>
      <c r="F426" s="326">
        <f t="shared" si="15"/>
        <v>0</v>
      </c>
      <c r="G426" s="256">
        <f t="shared" si="16"/>
        <v>0</v>
      </c>
      <c r="H426" s="263" t="s">
        <v>609</v>
      </c>
      <c r="I426" s="414"/>
      <c r="J426" s="211"/>
      <c r="K426" s="149">
        <v>16486000</v>
      </c>
    </row>
    <row r="427" spans="1:11" ht="18" customHeight="1">
      <c r="A427" s="251"/>
      <c r="B427" s="252"/>
      <c r="C427" s="227" t="s">
        <v>612</v>
      </c>
      <c r="D427" s="203">
        <v>600</v>
      </c>
      <c r="E427" s="203">
        <v>700</v>
      </c>
      <c r="F427" s="326">
        <f t="shared" si="15"/>
        <v>100</v>
      </c>
      <c r="G427" s="256">
        <f t="shared" si="16"/>
        <v>16.666666666666668</v>
      </c>
      <c r="H427" s="263" t="s">
        <v>613</v>
      </c>
      <c r="I427" s="414"/>
      <c r="J427" s="211"/>
      <c r="K427" s="149">
        <v>700000</v>
      </c>
    </row>
    <row r="428" spans="1:11" ht="18" customHeight="1">
      <c r="A428" s="251"/>
      <c r="B428" s="252"/>
      <c r="C428" s="227" t="s">
        <v>614</v>
      </c>
      <c r="D428" s="203">
        <v>25000</v>
      </c>
      <c r="E428" s="203">
        <v>25000</v>
      </c>
      <c r="F428" s="326">
        <f t="shared" si="15"/>
        <v>0</v>
      </c>
      <c r="G428" s="256">
        <f t="shared" si="16"/>
        <v>0</v>
      </c>
      <c r="H428" s="263" t="s">
        <v>615</v>
      </c>
      <c r="I428" s="414"/>
      <c r="J428" s="211"/>
      <c r="K428" s="149">
        <v>25000000</v>
      </c>
    </row>
    <row r="429" spans="1:11" ht="18" customHeight="1">
      <c r="A429" s="251"/>
      <c r="B429" s="252"/>
      <c r="C429" s="227" t="s">
        <v>616</v>
      </c>
      <c r="D429" s="203">
        <v>4000</v>
      </c>
      <c r="E429" s="203">
        <v>4000</v>
      </c>
      <c r="F429" s="326">
        <f aca="true" t="shared" si="17" ref="F429:F434">E429-D429</f>
        <v>0</v>
      </c>
      <c r="G429" s="248">
        <f>F429*100/D429</f>
        <v>0</v>
      </c>
      <c r="H429" s="263" t="s">
        <v>617</v>
      </c>
      <c r="I429" s="414"/>
      <c r="J429" s="211"/>
      <c r="K429" s="149">
        <v>4000000</v>
      </c>
    </row>
    <row r="430" spans="1:11" ht="18" customHeight="1">
      <c r="A430" s="251"/>
      <c r="B430" s="252"/>
      <c r="C430" s="227" t="s">
        <v>807</v>
      </c>
      <c r="D430" s="203">
        <v>11000</v>
      </c>
      <c r="E430" s="203">
        <v>11000</v>
      </c>
      <c r="F430" s="315">
        <f>E430-D430</f>
        <v>0</v>
      </c>
      <c r="G430" s="248">
        <v>0</v>
      </c>
      <c r="H430" s="362" t="s">
        <v>639</v>
      </c>
      <c r="I430" s="414"/>
      <c r="J430" s="211"/>
      <c r="K430" s="149">
        <v>11000000</v>
      </c>
    </row>
    <row r="431" spans="1:11" ht="18" customHeight="1">
      <c r="A431" s="251"/>
      <c r="B431" s="252"/>
      <c r="C431" s="227" t="s">
        <v>988</v>
      </c>
      <c r="D431" s="203">
        <v>0</v>
      </c>
      <c r="E431" s="203">
        <v>360</v>
      </c>
      <c r="F431" s="315">
        <f>E431-D431</f>
        <v>360</v>
      </c>
      <c r="G431" s="248">
        <v>0</v>
      </c>
      <c r="H431" s="362" t="s">
        <v>990</v>
      </c>
      <c r="I431" s="414"/>
      <c r="J431" s="211"/>
      <c r="K431" s="149">
        <v>360000</v>
      </c>
    </row>
    <row r="432" spans="1:11" ht="18" customHeight="1">
      <c r="A432" s="413"/>
      <c r="B432" s="307"/>
      <c r="C432" s="227" t="s">
        <v>996</v>
      </c>
      <c r="D432" s="203">
        <v>0</v>
      </c>
      <c r="E432" s="203">
        <v>10000</v>
      </c>
      <c r="F432" s="315">
        <f t="shared" si="17"/>
        <v>10000</v>
      </c>
      <c r="G432" s="248">
        <v>0</v>
      </c>
      <c r="H432" s="362" t="s">
        <v>989</v>
      </c>
      <c r="I432" s="414"/>
      <c r="J432" s="211"/>
      <c r="K432" s="149">
        <v>10000000</v>
      </c>
    </row>
    <row r="433" spans="1:11" ht="20.25" customHeight="1">
      <c r="A433" s="270" t="s">
        <v>590</v>
      </c>
      <c r="B433" s="233" t="s">
        <v>618</v>
      </c>
      <c r="C433" s="252" t="s">
        <v>584</v>
      </c>
      <c r="D433" s="137">
        <f>SUM(D434)</f>
        <v>45000</v>
      </c>
      <c r="E433" s="137">
        <f>SUM(E434)</f>
        <v>45000</v>
      </c>
      <c r="F433" s="387">
        <f t="shared" si="17"/>
        <v>0</v>
      </c>
      <c r="G433" s="278">
        <f>F433*100/D433</f>
        <v>0</v>
      </c>
      <c r="H433" s="380" t="s">
        <v>619</v>
      </c>
      <c r="I433" s="312"/>
      <c r="J433" s="312"/>
      <c r="K433" s="142">
        <f>SUM(K434:K435)</f>
        <v>45000000</v>
      </c>
    </row>
    <row r="434" spans="1:11" ht="18" customHeight="1">
      <c r="A434" s="251" t="s">
        <v>620</v>
      </c>
      <c r="B434" s="252"/>
      <c r="C434" s="230" t="s">
        <v>621</v>
      </c>
      <c r="D434" s="325">
        <v>45000</v>
      </c>
      <c r="E434" s="325">
        <v>45000</v>
      </c>
      <c r="F434" s="262">
        <f t="shared" si="17"/>
        <v>0</v>
      </c>
      <c r="G434" s="256">
        <f>F434*100/D434</f>
        <v>0</v>
      </c>
      <c r="H434" s="428" t="s">
        <v>823</v>
      </c>
      <c r="I434" s="375"/>
      <c r="J434" s="375"/>
      <c r="K434" s="341">
        <v>43800000</v>
      </c>
    </row>
    <row r="435" spans="1:11" ht="18" customHeight="1">
      <c r="A435" s="251"/>
      <c r="B435" s="252"/>
      <c r="C435" s="226"/>
      <c r="D435" s="298"/>
      <c r="E435" s="298"/>
      <c r="F435" s="277"/>
      <c r="G435" s="278"/>
      <c r="H435" s="363" t="s">
        <v>824</v>
      </c>
      <c r="I435" s="136"/>
      <c r="J435" s="136"/>
      <c r="K435" s="142">
        <v>1200000</v>
      </c>
    </row>
    <row r="436" spans="1:11" ht="18" customHeight="1">
      <c r="A436" s="416" t="s">
        <v>622</v>
      </c>
      <c r="B436" s="561" t="s">
        <v>581</v>
      </c>
      <c r="C436" s="562"/>
      <c r="D436" s="203">
        <f>SUM(D437)</f>
        <v>0</v>
      </c>
      <c r="E436" s="203">
        <f>SUM(E437)</f>
        <v>0</v>
      </c>
      <c r="F436" s="315">
        <f>E436-D436</f>
        <v>0</v>
      </c>
      <c r="G436" s="248">
        <v>0</v>
      </c>
      <c r="H436" s="381"/>
      <c r="I436" s="388"/>
      <c r="J436" s="388"/>
      <c r="K436" s="149">
        <f>SUM(K437)</f>
        <v>0</v>
      </c>
    </row>
    <row r="437" spans="1:11" ht="18" customHeight="1">
      <c r="A437" s="251"/>
      <c r="B437" s="417" t="s">
        <v>623</v>
      </c>
      <c r="C437" s="320" t="s">
        <v>624</v>
      </c>
      <c r="D437" s="203">
        <v>0</v>
      </c>
      <c r="E437" s="203">
        <v>0</v>
      </c>
      <c r="F437" s="315">
        <f>E437-D437</f>
        <v>0</v>
      </c>
      <c r="G437" s="248">
        <v>0</v>
      </c>
      <c r="H437" s="381"/>
      <c r="I437" s="250"/>
      <c r="J437" s="250"/>
      <c r="K437" s="149">
        <v>0</v>
      </c>
    </row>
    <row r="438" spans="1:11" ht="18" customHeight="1">
      <c r="A438" s="416" t="s">
        <v>625</v>
      </c>
      <c r="B438" s="561" t="s">
        <v>581</v>
      </c>
      <c r="C438" s="562"/>
      <c r="D438" s="203">
        <f>SUM(D439)</f>
        <v>20000</v>
      </c>
      <c r="E438" s="203">
        <f>SUM(E439)</f>
        <v>20000</v>
      </c>
      <c r="F438" s="315">
        <f aca="true" t="shared" si="18" ref="F438:F444">E438-D438</f>
        <v>0</v>
      </c>
      <c r="G438" s="248">
        <f>F438*100/D438</f>
        <v>0</v>
      </c>
      <c r="H438" s="381"/>
      <c r="I438" s="388"/>
      <c r="J438" s="388"/>
      <c r="K438" s="149">
        <v>20000000</v>
      </c>
    </row>
    <row r="439" spans="1:11" ht="18" customHeight="1">
      <c r="A439" s="251"/>
      <c r="B439" s="417" t="s">
        <v>626</v>
      </c>
      <c r="C439" s="430" t="s">
        <v>642</v>
      </c>
      <c r="D439" s="203">
        <v>20000</v>
      </c>
      <c r="E439" s="203">
        <v>20000</v>
      </c>
      <c r="F439" s="315">
        <f t="shared" si="18"/>
        <v>0</v>
      </c>
      <c r="G439" s="248">
        <f aca="true" t="shared" si="19" ref="G439:G448">F439*100/D439</f>
        <v>0</v>
      </c>
      <c r="H439" s="380" t="s">
        <v>854</v>
      </c>
      <c r="I439" s="250"/>
      <c r="J439" s="250"/>
      <c r="K439" s="149">
        <v>20000000</v>
      </c>
    </row>
    <row r="440" spans="1:11" ht="18" customHeight="1">
      <c r="A440" s="416" t="s">
        <v>627</v>
      </c>
      <c r="B440" s="566" t="s">
        <v>581</v>
      </c>
      <c r="C440" s="562"/>
      <c r="D440" s="203">
        <f>SUM(D442:D444)</f>
        <v>1265</v>
      </c>
      <c r="E440" s="203">
        <f>SUM(E442:E444)</f>
        <v>1265</v>
      </c>
      <c r="F440" s="315">
        <f t="shared" si="18"/>
        <v>0</v>
      </c>
      <c r="G440" s="248">
        <f t="shared" si="19"/>
        <v>0</v>
      </c>
      <c r="H440" s="381" t="s">
        <v>628</v>
      </c>
      <c r="I440" s="388"/>
      <c r="J440" s="388"/>
      <c r="K440" s="149">
        <f>SUM(K442:K444)</f>
        <v>1264851</v>
      </c>
    </row>
    <row r="441" spans="1:11" ht="18" customHeight="1">
      <c r="A441" s="299"/>
      <c r="B441" s="383" t="s">
        <v>629</v>
      </c>
      <c r="C441" s="321" t="s">
        <v>584</v>
      </c>
      <c r="D441" s="203">
        <f>SUM(D442:D444)</f>
        <v>1265</v>
      </c>
      <c r="E441" s="203">
        <f>SUM(E442:E444)</f>
        <v>1265</v>
      </c>
      <c r="F441" s="315">
        <f t="shared" si="18"/>
        <v>0</v>
      </c>
      <c r="G441" s="248">
        <f t="shared" si="19"/>
        <v>0</v>
      </c>
      <c r="H441" s="380"/>
      <c r="I441" s="250"/>
      <c r="J441" s="243"/>
      <c r="K441" s="149">
        <f>SUM(K442:K444)</f>
        <v>1264851</v>
      </c>
    </row>
    <row r="442" spans="1:11" ht="18" customHeight="1">
      <c r="A442" s="299"/>
      <c r="B442" s="297"/>
      <c r="C442" s="393" t="s">
        <v>630</v>
      </c>
      <c r="D442" s="203">
        <v>1265</v>
      </c>
      <c r="E442" s="203">
        <v>1265</v>
      </c>
      <c r="F442" s="315">
        <f t="shared" si="18"/>
        <v>0</v>
      </c>
      <c r="G442" s="248">
        <f t="shared" si="19"/>
        <v>0</v>
      </c>
      <c r="H442" s="461" t="s">
        <v>630</v>
      </c>
      <c r="I442" s="250"/>
      <c r="J442" s="250"/>
      <c r="K442" s="341">
        <v>1195811</v>
      </c>
    </row>
    <row r="443" spans="1:11" ht="18" customHeight="1">
      <c r="A443" s="299"/>
      <c r="B443" s="297"/>
      <c r="C443" s="393" t="s">
        <v>631</v>
      </c>
      <c r="D443" s="203">
        <v>0</v>
      </c>
      <c r="E443" s="203">
        <v>0</v>
      </c>
      <c r="F443" s="315">
        <f>E443-D443</f>
        <v>0</v>
      </c>
      <c r="G443" s="248">
        <v>0</v>
      </c>
      <c r="H443" s="422" t="s">
        <v>719</v>
      </c>
      <c r="I443" s="312"/>
      <c r="J443" s="312"/>
      <c r="K443" s="279">
        <v>69040</v>
      </c>
    </row>
    <row r="444" spans="1:11" ht="18" customHeight="1">
      <c r="A444" s="299"/>
      <c r="B444" s="297"/>
      <c r="C444" s="393" t="s">
        <v>632</v>
      </c>
      <c r="D444" s="203">
        <v>0</v>
      </c>
      <c r="E444" s="203">
        <v>0</v>
      </c>
      <c r="F444" s="315">
        <f t="shared" si="18"/>
        <v>0</v>
      </c>
      <c r="G444" s="248">
        <v>0</v>
      </c>
      <c r="H444" s="380"/>
      <c r="I444" s="243"/>
      <c r="J444" s="243"/>
      <c r="K444" s="142">
        <v>0</v>
      </c>
    </row>
    <row r="445" spans="1:11" ht="18" customHeight="1">
      <c r="A445" s="416" t="s">
        <v>633</v>
      </c>
      <c r="B445" s="566" t="s">
        <v>581</v>
      </c>
      <c r="C445" s="562"/>
      <c r="D445" s="203">
        <f>SUM(D447:D449)</f>
        <v>1016</v>
      </c>
      <c r="E445" s="203">
        <f>SUM(E447:E449)</f>
        <v>9016</v>
      </c>
      <c r="F445" s="315">
        <f>E445-D445</f>
        <v>8000</v>
      </c>
      <c r="G445" s="248">
        <f t="shared" si="19"/>
        <v>787.4015748031496</v>
      </c>
      <c r="H445" s="381" t="s">
        <v>634</v>
      </c>
      <c r="I445" s="388"/>
      <c r="J445" s="388"/>
      <c r="K445" s="149">
        <f>SUM(K447:K449)</f>
        <v>9016000</v>
      </c>
    </row>
    <row r="446" spans="1:11" ht="18" customHeight="1">
      <c r="A446" s="299"/>
      <c r="B446" s="383" t="s">
        <v>635</v>
      </c>
      <c r="C446" s="321" t="s">
        <v>584</v>
      </c>
      <c r="D446" s="203">
        <f>SUM(D447:D449)</f>
        <v>1016</v>
      </c>
      <c r="E446" s="203">
        <f>SUM(E447:E449)</f>
        <v>9016</v>
      </c>
      <c r="F446" s="315">
        <f>E446-D446</f>
        <v>8000</v>
      </c>
      <c r="G446" s="248">
        <f t="shared" si="19"/>
        <v>787.4015748031496</v>
      </c>
      <c r="H446" s="381"/>
      <c r="I446" s="250"/>
      <c r="J446" s="243"/>
      <c r="K446" s="149">
        <f>SUM(K447:K449)</f>
        <v>9016000</v>
      </c>
    </row>
    <row r="447" spans="1:11" ht="18" customHeight="1">
      <c r="A447" s="299"/>
      <c r="B447" s="297"/>
      <c r="C447" s="393" t="s">
        <v>636</v>
      </c>
      <c r="D447" s="203">
        <v>16</v>
      </c>
      <c r="E447" s="203">
        <v>16</v>
      </c>
      <c r="F447" s="315">
        <f>E447-D447</f>
        <v>0</v>
      </c>
      <c r="G447" s="248">
        <f t="shared" si="19"/>
        <v>0</v>
      </c>
      <c r="H447" s="461" t="s">
        <v>637</v>
      </c>
      <c r="I447" s="250"/>
      <c r="J447" s="250"/>
      <c r="K447" s="341">
        <v>16000</v>
      </c>
    </row>
    <row r="448" spans="1:11" ht="18" customHeight="1" thickBot="1">
      <c r="A448" s="301"/>
      <c r="B448" s="382"/>
      <c r="C448" s="392" t="s">
        <v>638</v>
      </c>
      <c r="D448" s="389">
        <v>1000</v>
      </c>
      <c r="E448" s="389">
        <v>9000</v>
      </c>
      <c r="F448" s="390">
        <f>E448-D448</f>
        <v>8000</v>
      </c>
      <c r="G448" s="333">
        <f t="shared" si="19"/>
        <v>800</v>
      </c>
      <c r="H448" s="486" t="s">
        <v>1004</v>
      </c>
      <c r="I448" s="487"/>
      <c r="J448" s="487"/>
      <c r="K448" s="303">
        <v>9000000</v>
      </c>
    </row>
  </sheetData>
  <mergeCells count="117">
    <mergeCell ref="B445:C445"/>
    <mergeCell ref="C421:C422"/>
    <mergeCell ref="B421:B422"/>
    <mergeCell ref="B438:C438"/>
    <mergeCell ref="B440:C440"/>
    <mergeCell ref="E421:E422"/>
    <mergeCell ref="D421:D422"/>
    <mergeCell ref="F421:G421"/>
    <mergeCell ref="H421:K422"/>
    <mergeCell ref="A421:A422"/>
    <mergeCell ref="B436:C436"/>
    <mergeCell ref="A391:C391"/>
    <mergeCell ref="B392:C392"/>
    <mergeCell ref="B409:C409"/>
    <mergeCell ref="A387:K387"/>
    <mergeCell ref="A388:K388"/>
    <mergeCell ref="A389:A390"/>
    <mergeCell ref="B389:B390"/>
    <mergeCell ref="C389:C390"/>
    <mergeCell ref="D389:D390"/>
    <mergeCell ref="E389:E390"/>
    <mergeCell ref="F389:G389"/>
    <mergeCell ref="H389:K390"/>
    <mergeCell ref="H355:K356"/>
    <mergeCell ref="B365:C365"/>
    <mergeCell ref="B367:C367"/>
    <mergeCell ref="B369:C369"/>
    <mergeCell ref="F355:G355"/>
    <mergeCell ref="A355:A356"/>
    <mergeCell ref="B355:B356"/>
    <mergeCell ref="C355:C356"/>
    <mergeCell ref="D355:D356"/>
    <mergeCell ref="B150:B151"/>
    <mergeCell ref="C150:C151"/>
    <mergeCell ref="D150:D151"/>
    <mergeCell ref="E355:E356"/>
    <mergeCell ref="D185:D186"/>
    <mergeCell ref="E185:E186"/>
    <mergeCell ref="E227:E228"/>
    <mergeCell ref="B249:C249"/>
    <mergeCell ref="E283:E284"/>
    <mergeCell ref="D286:D287"/>
    <mergeCell ref="E150:E151"/>
    <mergeCell ref="F150:G150"/>
    <mergeCell ref="H150:K151"/>
    <mergeCell ref="E113:E114"/>
    <mergeCell ref="F113:G113"/>
    <mergeCell ref="H113:K114"/>
    <mergeCell ref="A1:K1"/>
    <mergeCell ref="H3:K4"/>
    <mergeCell ref="E3:E4"/>
    <mergeCell ref="F3:G3"/>
    <mergeCell ref="A2:K2"/>
    <mergeCell ref="A3:A4"/>
    <mergeCell ref="B3:B4"/>
    <mergeCell ref="C3:C4"/>
    <mergeCell ref="D3:D4"/>
    <mergeCell ref="A45:A46"/>
    <mergeCell ref="B45:B46"/>
    <mergeCell ref="C45:C46"/>
    <mergeCell ref="D45:D46"/>
    <mergeCell ref="F45:G45"/>
    <mergeCell ref="H45:K46"/>
    <mergeCell ref="E80:E81"/>
    <mergeCell ref="F80:G80"/>
    <mergeCell ref="H80:K81"/>
    <mergeCell ref="B113:B114"/>
    <mergeCell ref="C113:C114"/>
    <mergeCell ref="D113:D114"/>
    <mergeCell ref="E45:E46"/>
    <mergeCell ref="D80:D81"/>
    <mergeCell ref="B6:C6"/>
    <mergeCell ref="A5:C5"/>
    <mergeCell ref="A185:A186"/>
    <mergeCell ref="B185:B186"/>
    <mergeCell ref="C185:C186"/>
    <mergeCell ref="A80:A81"/>
    <mergeCell ref="B80:B81"/>
    <mergeCell ref="C80:C81"/>
    <mergeCell ref="A150:A151"/>
    <mergeCell ref="A113:A114"/>
    <mergeCell ref="F185:G185"/>
    <mergeCell ref="H185:K186"/>
    <mergeCell ref="B200:C200"/>
    <mergeCell ref="B204:C204"/>
    <mergeCell ref="A227:A228"/>
    <mergeCell ref="B227:B228"/>
    <mergeCell ref="C227:C228"/>
    <mergeCell ref="D227:D228"/>
    <mergeCell ref="B229:C229"/>
    <mergeCell ref="A247:A248"/>
    <mergeCell ref="B247:B248"/>
    <mergeCell ref="C247:C248"/>
    <mergeCell ref="D283:D284"/>
    <mergeCell ref="F283:G283"/>
    <mergeCell ref="F227:G227"/>
    <mergeCell ref="H227:K228"/>
    <mergeCell ref="D247:D248"/>
    <mergeCell ref="E247:E248"/>
    <mergeCell ref="F247:G247"/>
    <mergeCell ref="H247:K248"/>
    <mergeCell ref="B285:C285"/>
    <mergeCell ref="A283:A284"/>
    <mergeCell ref="B283:B284"/>
    <mergeCell ref="C283:C284"/>
    <mergeCell ref="F286:F287"/>
    <mergeCell ref="G286:G287"/>
    <mergeCell ref="H315:K316"/>
    <mergeCell ref="H283:K284"/>
    <mergeCell ref="F315:G315"/>
    <mergeCell ref="A315:A316"/>
    <mergeCell ref="B315:B316"/>
    <mergeCell ref="C315:C316"/>
    <mergeCell ref="E286:E287"/>
    <mergeCell ref="D315:D316"/>
    <mergeCell ref="E315:E316"/>
    <mergeCell ref="B309:C309"/>
  </mergeCells>
  <printOptions/>
  <pageMargins left="0.15748031496062992" right="0.15748031496062992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73">
      <selection activeCell="L90" sqref="L90"/>
    </sheetView>
  </sheetViews>
  <sheetFormatPr defaultColWidth="8.88671875" defaultRowHeight="13.5"/>
  <cols>
    <col min="2" max="2" width="14.88671875" style="0" customWidth="1"/>
    <col min="3" max="3" width="15.4453125" style="0" customWidth="1"/>
    <col min="4" max="4" width="9.88671875" style="0" bestFit="1" customWidth="1"/>
    <col min="5" max="5" width="9.99609375" style="0" bestFit="1" customWidth="1"/>
    <col min="6" max="6" width="8.10546875" style="0" customWidth="1"/>
    <col min="7" max="7" width="7.88671875" style="0" customWidth="1"/>
    <col min="8" max="8" width="14.77734375" style="0" customWidth="1"/>
    <col min="9" max="9" width="13.10546875" style="0" customWidth="1"/>
    <col min="10" max="10" width="9.6640625" style="0" customWidth="1"/>
    <col min="11" max="11" width="12.6640625" style="0" customWidth="1"/>
  </cols>
  <sheetData>
    <row r="1" spans="1:11" ht="18" customHeight="1">
      <c r="A1" s="556" t="s">
        <v>271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ht="14.25" thickBot="1">
      <c r="A2" s="569" t="s">
        <v>35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12.75" customHeight="1">
      <c r="A3" s="502" t="s">
        <v>5</v>
      </c>
      <c r="B3" s="504" t="s">
        <v>6</v>
      </c>
      <c r="C3" s="504" t="s">
        <v>7</v>
      </c>
      <c r="D3" s="504" t="s">
        <v>37</v>
      </c>
      <c r="E3" s="504" t="s">
        <v>36</v>
      </c>
      <c r="F3" s="544" t="s">
        <v>38</v>
      </c>
      <c r="G3" s="545"/>
      <c r="H3" s="538" t="s">
        <v>39</v>
      </c>
      <c r="I3" s="539"/>
      <c r="J3" s="539"/>
      <c r="K3" s="540"/>
    </row>
    <row r="4" spans="1:11" ht="12.75" customHeight="1" thickBot="1">
      <c r="A4" s="503"/>
      <c r="B4" s="505"/>
      <c r="C4" s="505"/>
      <c r="D4" s="505"/>
      <c r="E4" s="505"/>
      <c r="F4" s="234" t="s">
        <v>9</v>
      </c>
      <c r="G4" s="235" t="s">
        <v>40</v>
      </c>
      <c r="H4" s="541"/>
      <c r="I4" s="542"/>
      <c r="J4" s="542"/>
      <c r="K4" s="543"/>
    </row>
    <row r="5" spans="1:11" ht="12.75" customHeight="1" thickBot="1" thickTop="1">
      <c r="A5" s="553" t="s">
        <v>493</v>
      </c>
      <c r="B5" s="554"/>
      <c r="C5" s="567"/>
      <c r="D5" s="376">
        <f>SUM(D6+D55+D59+D80)</f>
        <v>104048</v>
      </c>
      <c r="E5" s="376">
        <f>SUM(E6+E55+E59+E80)</f>
        <v>108807</v>
      </c>
      <c r="F5" s="377">
        <f>E5-D5</f>
        <v>4759</v>
      </c>
      <c r="G5" s="236">
        <f>F5*100/D5</f>
        <v>4.573850530524373</v>
      </c>
      <c r="H5" s="237"/>
      <c r="I5" s="378"/>
      <c r="J5" s="378"/>
      <c r="K5" s="379">
        <f>SUM(K6+K55+K59+K80)</f>
        <v>108806296.36666667</v>
      </c>
    </row>
    <row r="6" spans="1:11" ht="12.75" customHeight="1">
      <c r="A6" s="299" t="s">
        <v>41</v>
      </c>
      <c r="B6" s="568" t="s">
        <v>11</v>
      </c>
      <c r="C6" s="551"/>
      <c r="D6" s="137">
        <f>SUM(D7+D44)</f>
        <v>62558</v>
      </c>
      <c r="E6" s="137">
        <f>SUM(E7+E44)</f>
        <v>62609</v>
      </c>
      <c r="F6" s="240">
        <f>E6-D6</f>
        <v>51</v>
      </c>
      <c r="G6" s="241">
        <f>F6*100/D6</f>
        <v>0.08152434540746188</v>
      </c>
      <c r="H6" s="380" t="s">
        <v>494</v>
      </c>
      <c r="I6" s="243"/>
      <c r="J6" s="243"/>
      <c r="K6" s="142">
        <f>SUM(K7+K44)</f>
        <v>62608296.36666667</v>
      </c>
    </row>
    <row r="7" spans="1:11" ht="12.75" customHeight="1">
      <c r="A7" s="251"/>
      <c r="B7" s="219" t="s">
        <v>495</v>
      </c>
      <c r="C7" s="245" t="s">
        <v>13</v>
      </c>
      <c r="D7" s="246">
        <f>SUM(D8+D12+D19+D32+D33+D38+D41)</f>
        <v>59185</v>
      </c>
      <c r="E7" s="203">
        <f>SUM(E8+E12+E19+E32+E33+E38+E41)</f>
        <v>59127</v>
      </c>
      <c r="F7" s="315">
        <f>E7-D7</f>
        <v>-58</v>
      </c>
      <c r="G7" s="248">
        <f>F7*100/D7</f>
        <v>-0.09799780349750782</v>
      </c>
      <c r="H7" s="381" t="s">
        <v>211</v>
      </c>
      <c r="I7" s="250"/>
      <c r="J7" s="250"/>
      <c r="K7" s="149">
        <f>SUM(K8+K12+K15+K19+K32+K33+K38+K41)</f>
        <v>59126296.36666667</v>
      </c>
    </row>
    <row r="8" spans="1:11" ht="12" customHeight="1">
      <c r="A8" s="251"/>
      <c r="B8" s="252"/>
      <c r="C8" s="230" t="s">
        <v>65</v>
      </c>
      <c r="D8" s="253">
        <v>24912</v>
      </c>
      <c r="E8" s="254">
        <v>23920</v>
      </c>
      <c r="F8" s="255">
        <f>E8-D8</f>
        <v>-992</v>
      </c>
      <c r="G8" s="256">
        <f>F8*100/D8</f>
        <v>-3.9820166987797045</v>
      </c>
      <c r="H8" s="263" t="s">
        <v>42</v>
      </c>
      <c r="I8" s="211"/>
      <c r="J8" s="211"/>
      <c r="K8" s="149">
        <f>SUM(K9:K11)</f>
        <v>23920000</v>
      </c>
    </row>
    <row r="9" spans="1:11" ht="12.75" customHeight="1">
      <c r="A9" s="251"/>
      <c r="B9" s="252"/>
      <c r="C9" s="226"/>
      <c r="D9" s="257"/>
      <c r="E9" s="257"/>
      <c r="F9" s="257"/>
      <c r="G9" s="257"/>
      <c r="H9" s="374" t="s">
        <v>496</v>
      </c>
      <c r="I9" s="375">
        <v>1155000</v>
      </c>
      <c r="J9" s="375" t="s">
        <v>49</v>
      </c>
      <c r="K9" s="341">
        <f>SUM(I9*12)</f>
        <v>13860000</v>
      </c>
    </row>
    <row r="10" spans="1:11" ht="12.75" customHeight="1">
      <c r="A10" s="251"/>
      <c r="B10" s="252"/>
      <c r="C10" s="226"/>
      <c r="D10" s="257"/>
      <c r="E10" s="257"/>
      <c r="F10" s="257"/>
      <c r="G10" s="257"/>
      <c r="H10" s="366" t="s">
        <v>497</v>
      </c>
      <c r="I10" s="274">
        <v>680000</v>
      </c>
      <c r="J10" s="274" t="s">
        <v>403</v>
      </c>
      <c r="K10" s="279">
        <f>SUM(I10*2)</f>
        <v>1360000</v>
      </c>
    </row>
    <row r="11" spans="1:11" ht="12.75" customHeight="1">
      <c r="A11" s="251"/>
      <c r="B11" s="252"/>
      <c r="C11" s="259"/>
      <c r="D11" s="260"/>
      <c r="E11" s="257"/>
      <c r="F11" s="257"/>
      <c r="G11" s="257"/>
      <c r="H11" s="366" t="s">
        <v>669</v>
      </c>
      <c r="I11" s="274">
        <v>870000</v>
      </c>
      <c r="J11" s="274" t="s">
        <v>94</v>
      </c>
      <c r="K11" s="279">
        <f>SUM(I11*10)</f>
        <v>8700000</v>
      </c>
    </row>
    <row r="12" spans="1:11" ht="12" customHeight="1">
      <c r="A12" s="251"/>
      <c r="B12" s="252"/>
      <c r="C12" s="226" t="s">
        <v>57</v>
      </c>
      <c r="D12" s="257">
        <v>9193</v>
      </c>
      <c r="E12" s="325">
        <v>11514</v>
      </c>
      <c r="F12" s="326">
        <f>E12-D12</f>
        <v>2321</v>
      </c>
      <c r="G12" s="256">
        <f>F12*100/D12</f>
        <v>25.247470901773088</v>
      </c>
      <c r="H12" s="263" t="s">
        <v>43</v>
      </c>
      <c r="I12" s="211"/>
      <c r="J12" s="211"/>
      <c r="K12" s="149">
        <f>SUM(K13+K14)</f>
        <v>8100000</v>
      </c>
    </row>
    <row r="13" spans="1:11" ht="12.75" customHeight="1">
      <c r="A13" s="251"/>
      <c r="B13" s="252"/>
      <c r="C13" s="226"/>
      <c r="D13" s="257"/>
      <c r="E13" s="257"/>
      <c r="F13" s="222"/>
      <c r="G13" s="222"/>
      <c r="H13" s="374" t="s">
        <v>496</v>
      </c>
      <c r="I13" s="375">
        <v>1155000</v>
      </c>
      <c r="J13" s="375" t="s">
        <v>45</v>
      </c>
      <c r="K13" s="341">
        <f>SUM(I13*400%)</f>
        <v>4620000</v>
      </c>
    </row>
    <row r="14" spans="1:11" ht="12.75" customHeight="1">
      <c r="A14" s="251"/>
      <c r="B14" s="252"/>
      <c r="C14" s="226"/>
      <c r="D14" s="257"/>
      <c r="E14" s="257"/>
      <c r="F14" s="222"/>
      <c r="G14" s="222"/>
      <c r="H14" s="366" t="s">
        <v>668</v>
      </c>
      <c r="I14" s="274">
        <v>870000</v>
      </c>
      <c r="J14" s="274" t="s">
        <v>45</v>
      </c>
      <c r="K14" s="279">
        <f>SUM(I14*400%)</f>
        <v>3480000</v>
      </c>
    </row>
    <row r="15" spans="1:11" ht="12.75" customHeight="1">
      <c r="A15" s="251"/>
      <c r="B15" s="252"/>
      <c r="C15" s="226"/>
      <c r="D15" s="257"/>
      <c r="E15" s="257"/>
      <c r="F15" s="222"/>
      <c r="G15" s="222"/>
      <c r="H15" s="263" t="s">
        <v>387</v>
      </c>
      <c r="I15" s="211"/>
      <c r="J15" s="211"/>
      <c r="K15" s="149">
        <f>SUM(K16:K18)</f>
        <v>3414000</v>
      </c>
    </row>
    <row r="16" spans="1:11" ht="12.75" customHeight="1">
      <c r="A16" s="251"/>
      <c r="B16" s="252"/>
      <c r="C16" s="226"/>
      <c r="D16" s="257"/>
      <c r="E16" s="257"/>
      <c r="F16" s="222"/>
      <c r="G16" s="222"/>
      <c r="H16" s="374" t="s">
        <v>496</v>
      </c>
      <c r="I16" s="375">
        <v>1155000</v>
      </c>
      <c r="J16" s="375" t="s">
        <v>46</v>
      </c>
      <c r="K16" s="341">
        <f>SUM(I16*100%*2)</f>
        <v>2310000</v>
      </c>
    </row>
    <row r="17" spans="1:11" ht="12.75" customHeight="1">
      <c r="A17" s="251"/>
      <c r="B17" s="252"/>
      <c r="C17" s="226"/>
      <c r="D17" s="257"/>
      <c r="E17" s="257"/>
      <c r="F17" s="222"/>
      <c r="G17" s="222"/>
      <c r="H17" s="366" t="s">
        <v>670</v>
      </c>
      <c r="I17" s="274">
        <v>680000</v>
      </c>
      <c r="J17" s="274" t="s">
        <v>671</v>
      </c>
      <c r="K17" s="279">
        <f>SUM(I17*60%)</f>
        <v>408000</v>
      </c>
    </row>
    <row r="18" spans="1:11" ht="12.75" customHeight="1">
      <c r="A18" s="251"/>
      <c r="B18" s="252"/>
      <c r="C18" s="259"/>
      <c r="D18" s="260"/>
      <c r="E18" s="260"/>
      <c r="F18" s="276"/>
      <c r="G18" s="276"/>
      <c r="H18" s="212" t="s">
        <v>669</v>
      </c>
      <c r="I18" s="136">
        <v>870000</v>
      </c>
      <c r="J18" s="136" t="s">
        <v>677</v>
      </c>
      <c r="K18" s="142">
        <f>SUM(I18*80%*1)</f>
        <v>696000</v>
      </c>
    </row>
    <row r="19" spans="1:11" ht="10.5" customHeight="1">
      <c r="A19" s="270"/>
      <c r="B19" s="233"/>
      <c r="C19" s="226" t="s">
        <v>58</v>
      </c>
      <c r="D19" s="257">
        <v>8621</v>
      </c>
      <c r="E19" s="254">
        <v>11119</v>
      </c>
      <c r="F19" s="277">
        <f>E19-D19</f>
        <v>2498</v>
      </c>
      <c r="G19" s="278">
        <f>F19*100/D19</f>
        <v>28.97575687275258</v>
      </c>
      <c r="H19" s="212" t="s">
        <v>47</v>
      </c>
      <c r="I19" s="136"/>
      <c r="J19" s="274"/>
      <c r="K19" s="142">
        <f>SUM(K20:K31)</f>
        <v>11119000</v>
      </c>
    </row>
    <row r="20" spans="1:11" ht="12.75" customHeight="1">
      <c r="A20" s="251"/>
      <c r="B20" s="252"/>
      <c r="C20" s="226"/>
      <c r="D20" s="257"/>
      <c r="E20" s="257"/>
      <c r="F20" s="257"/>
      <c r="G20" s="257"/>
      <c r="H20" s="374" t="s">
        <v>388</v>
      </c>
      <c r="I20" s="375">
        <v>23920000</v>
      </c>
      <c r="J20" s="375" t="s">
        <v>48</v>
      </c>
      <c r="K20" s="341">
        <f>SUM(I20*20%)</f>
        <v>4784000</v>
      </c>
    </row>
    <row r="21" spans="1:11" ht="12.75" customHeight="1">
      <c r="A21" s="251"/>
      <c r="B21" s="252"/>
      <c r="C21" s="226"/>
      <c r="D21" s="257"/>
      <c r="E21" s="257"/>
      <c r="F21" s="257"/>
      <c r="G21" s="257"/>
      <c r="H21" s="366" t="s">
        <v>389</v>
      </c>
      <c r="I21" s="274">
        <v>20000</v>
      </c>
      <c r="J21" s="274" t="s">
        <v>498</v>
      </c>
      <c r="K21" s="279">
        <f>SUM(I21*12*2)</f>
        <v>480000</v>
      </c>
    </row>
    <row r="22" spans="1:11" ht="12.75" customHeight="1">
      <c r="A22" s="251"/>
      <c r="B22" s="252"/>
      <c r="C22" s="226"/>
      <c r="D22" s="257"/>
      <c r="E22" s="257"/>
      <c r="F22" s="257"/>
      <c r="G22" s="257"/>
      <c r="H22" s="366" t="s">
        <v>390</v>
      </c>
      <c r="I22" s="274">
        <v>1835000</v>
      </c>
      <c r="J22" s="274" t="s">
        <v>672</v>
      </c>
      <c r="K22" s="279">
        <f>SUM(I22*50%*1)</f>
        <v>917500</v>
      </c>
    </row>
    <row r="23" spans="1:11" ht="12.75" customHeight="1">
      <c r="A23" s="251"/>
      <c r="B23" s="252"/>
      <c r="C23" s="226"/>
      <c r="D23" s="257"/>
      <c r="E23" s="257"/>
      <c r="F23" s="257"/>
      <c r="G23" s="257"/>
      <c r="H23" s="366" t="s">
        <v>390</v>
      </c>
      <c r="I23" s="274">
        <v>2025000</v>
      </c>
      <c r="J23" s="274" t="s">
        <v>672</v>
      </c>
      <c r="K23" s="279">
        <f>SUM(I23*50%*1)</f>
        <v>1012500</v>
      </c>
    </row>
    <row r="24" spans="1:11" ht="12.75" customHeight="1">
      <c r="A24" s="251"/>
      <c r="B24" s="252"/>
      <c r="C24" s="226"/>
      <c r="D24" s="257"/>
      <c r="E24" s="257"/>
      <c r="F24" s="257"/>
      <c r="G24" s="257"/>
      <c r="H24" s="366" t="s">
        <v>391</v>
      </c>
      <c r="I24" s="274">
        <v>1835000</v>
      </c>
      <c r="J24" s="274" t="s">
        <v>673</v>
      </c>
      <c r="K24" s="279">
        <f>SUM(I24*25%*1)</f>
        <v>458750</v>
      </c>
    </row>
    <row r="25" spans="1:11" ht="12.75" customHeight="1">
      <c r="A25" s="251"/>
      <c r="B25" s="252"/>
      <c r="C25" s="226"/>
      <c r="D25" s="257"/>
      <c r="E25" s="257"/>
      <c r="F25" s="257"/>
      <c r="G25" s="257"/>
      <c r="H25" s="366" t="s">
        <v>391</v>
      </c>
      <c r="I25" s="274">
        <v>2025000</v>
      </c>
      <c r="J25" s="274" t="s">
        <v>673</v>
      </c>
      <c r="K25" s="279">
        <f>SUM(I25*25%*1)</f>
        <v>506250</v>
      </c>
    </row>
    <row r="26" spans="1:11" ht="12.75" customHeight="1">
      <c r="A26" s="251"/>
      <c r="B26" s="252"/>
      <c r="C26" s="226"/>
      <c r="D26" s="257"/>
      <c r="E26" s="257"/>
      <c r="F26" s="257"/>
      <c r="G26" s="257"/>
      <c r="H26" s="366" t="s">
        <v>52</v>
      </c>
      <c r="I26" s="274">
        <v>15000</v>
      </c>
      <c r="J26" s="274" t="s">
        <v>674</v>
      </c>
      <c r="K26" s="279">
        <f>SUM(I26*2*2)</f>
        <v>60000</v>
      </c>
    </row>
    <row r="27" spans="1:11" ht="12.75" customHeight="1">
      <c r="A27" s="251"/>
      <c r="B27" s="252"/>
      <c r="C27" s="226"/>
      <c r="D27" s="257"/>
      <c r="E27" s="257"/>
      <c r="F27" s="257"/>
      <c r="G27" s="257"/>
      <c r="H27" s="366" t="s">
        <v>52</v>
      </c>
      <c r="I27" s="274">
        <v>15000</v>
      </c>
      <c r="J27" s="274" t="s">
        <v>675</v>
      </c>
      <c r="K27" s="279">
        <f>SUM(I27*2*10)</f>
        <v>300000</v>
      </c>
    </row>
    <row r="28" spans="1:11" ht="12.75" customHeight="1">
      <c r="A28" s="251"/>
      <c r="B28" s="252"/>
      <c r="C28" s="226"/>
      <c r="D28" s="257"/>
      <c r="E28" s="257"/>
      <c r="F28" s="257"/>
      <c r="G28" s="257"/>
      <c r="H28" s="366" t="s">
        <v>53</v>
      </c>
      <c r="I28" s="274">
        <v>100000</v>
      </c>
      <c r="J28" s="274" t="s">
        <v>56</v>
      </c>
      <c r="K28" s="279">
        <f>SUM(I28*1*12)</f>
        <v>1200000</v>
      </c>
    </row>
    <row r="29" spans="1:11" ht="12.75" customHeight="1">
      <c r="A29" s="251"/>
      <c r="B29" s="252"/>
      <c r="C29" s="226"/>
      <c r="D29" s="257"/>
      <c r="E29" s="257"/>
      <c r="F29" s="222"/>
      <c r="G29" s="222"/>
      <c r="H29" s="366" t="s">
        <v>53</v>
      </c>
      <c r="I29" s="274">
        <v>50000</v>
      </c>
      <c r="J29" s="274" t="s">
        <v>676</v>
      </c>
      <c r="K29" s="279">
        <f>SUM(I29*1*10)</f>
        <v>500000</v>
      </c>
    </row>
    <row r="30" spans="1:11" ht="12.75" customHeight="1">
      <c r="A30" s="251"/>
      <c r="B30" s="252"/>
      <c r="C30" s="343"/>
      <c r="D30" s="257"/>
      <c r="E30" s="257"/>
      <c r="F30" s="222"/>
      <c r="G30" s="222"/>
      <c r="H30" s="366" t="s">
        <v>392</v>
      </c>
      <c r="I30" s="274">
        <v>50000</v>
      </c>
      <c r="J30" s="274" t="s">
        <v>56</v>
      </c>
      <c r="K30" s="279">
        <f>SUM(I30*1*12)</f>
        <v>600000</v>
      </c>
    </row>
    <row r="31" spans="1:11" ht="12.75" customHeight="1">
      <c r="A31" s="251"/>
      <c r="B31" s="252"/>
      <c r="C31" s="275"/>
      <c r="D31" s="260"/>
      <c r="E31" s="260"/>
      <c r="F31" s="276"/>
      <c r="G31" s="276"/>
      <c r="H31" s="212" t="s">
        <v>392</v>
      </c>
      <c r="I31" s="136">
        <v>30000</v>
      </c>
      <c r="J31" s="136" t="s">
        <v>676</v>
      </c>
      <c r="K31" s="142">
        <f>SUM(I31*1*10)</f>
        <v>300000</v>
      </c>
    </row>
    <row r="32" spans="1:11" ht="12.75" customHeight="1">
      <c r="A32" s="251"/>
      <c r="B32" s="252"/>
      <c r="C32" s="227" t="s">
        <v>499</v>
      </c>
      <c r="D32" s="306">
        <v>8515</v>
      </c>
      <c r="E32" s="306">
        <v>4240</v>
      </c>
      <c r="F32" s="247">
        <f>E32-D32</f>
        <v>-4275</v>
      </c>
      <c r="G32" s="248">
        <f>F32*100/D32</f>
        <v>-50.205519671168524</v>
      </c>
      <c r="H32" s="366" t="s">
        <v>61</v>
      </c>
      <c r="I32" s="274">
        <f>SUM(K8+K12+K15+K19+K39+K40+K41)</f>
        <v>50873000</v>
      </c>
      <c r="J32" s="274" t="s">
        <v>59</v>
      </c>
      <c r="K32" s="279">
        <f>SUM(I32*1/12)</f>
        <v>4239416.666666667</v>
      </c>
    </row>
    <row r="33" spans="1:11" ht="12" customHeight="1">
      <c r="A33" s="251"/>
      <c r="B33" s="252"/>
      <c r="C33" s="226" t="s">
        <v>68</v>
      </c>
      <c r="D33" s="257">
        <v>3624</v>
      </c>
      <c r="E33" s="257">
        <v>4014</v>
      </c>
      <c r="F33" s="277">
        <f>E33-D33</f>
        <v>390</v>
      </c>
      <c r="G33" s="278">
        <f>F33*100/D33</f>
        <v>10.76158940397351</v>
      </c>
      <c r="H33" s="263" t="s">
        <v>62</v>
      </c>
      <c r="I33" s="211"/>
      <c r="J33" s="211"/>
      <c r="K33" s="149">
        <f>SUM(K34+K35+K36+K37)</f>
        <v>4013879.7</v>
      </c>
    </row>
    <row r="34" spans="1:11" ht="12.75" customHeight="1">
      <c r="A34" s="251"/>
      <c r="B34" s="252"/>
      <c r="C34" s="226"/>
      <c r="D34" s="257"/>
      <c r="E34" s="257"/>
      <c r="F34" s="222"/>
      <c r="G34" s="222"/>
      <c r="H34" s="374" t="s">
        <v>60</v>
      </c>
      <c r="I34" s="375">
        <f>SUM(K8+K12+K15+K19+K39+K40+K41)</f>
        <v>50873000</v>
      </c>
      <c r="J34" s="375" t="s">
        <v>660</v>
      </c>
      <c r="K34" s="341">
        <f>SUM(I34*2.24%)</f>
        <v>1139555.2000000002</v>
      </c>
    </row>
    <row r="35" spans="1:11" ht="12.75" customHeight="1">
      <c r="A35" s="251"/>
      <c r="B35" s="252"/>
      <c r="C35" s="226"/>
      <c r="D35" s="257"/>
      <c r="E35" s="257"/>
      <c r="F35" s="222"/>
      <c r="G35" s="222"/>
      <c r="H35" s="366" t="s">
        <v>393</v>
      </c>
      <c r="I35" s="274">
        <f>SUM(K8+K12+K15+K19+K39+K40+K41)</f>
        <v>50873000</v>
      </c>
      <c r="J35" s="274" t="s">
        <v>217</v>
      </c>
      <c r="K35" s="279">
        <f>SUM(I35*4.5%)</f>
        <v>2289285</v>
      </c>
    </row>
    <row r="36" spans="1:11" ht="12.75" customHeight="1">
      <c r="A36" s="251"/>
      <c r="B36" s="252"/>
      <c r="C36" s="226"/>
      <c r="D36" s="257"/>
      <c r="E36" s="257"/>
      <c r="F36" s="222"/>
      <c r="G36" s="222"/>
      <c r="H36" s="366" t="s">
        <v>394</v>
      </c>
      <c r="I36" s="274">
        <f>SUM(K8+K12+K15+K19+K39+K40+K41)</f>
        <v>50873000</v>
      </c>
      <c r="J36" s="274" t="s">
        <v>532</v>
      </c>
      <c r="K36" s="279">
        <f>SUM(I36*0.7%)</f>
        <v>356110.99999999994</v>
      </c>
    </row>
    <row r="37" spans="1:11" ht="12.75" customHeight="1">
      <c r="A37" s="251"/>
      <c r="B37" s="252"/>
      <c r="C37" s="259"/>
      <c r="D37" s="260"/>
      <c r="E37" s="260"/>
      <c r="F37" s="276"/>
      <c r="G37" s="276"/>
      <c r="H37" s="212" t="s">
        <v>213</v>
      </c>
      <c r="I37" s="136">
        <f>SUM(K8+K12+K15+K19+K39+K40+K41)</f>
        <v>50873000</v>
      </c>
      <c r="J37" s="136" t="s">
        <v>664</v>
      </c>
      <c r="K37" s="279">
        <f>SUM(I37*0.45%)</f>
        <v>228928.50000000003</v>
      </c>
    </row>
    <row r="38" spans="1:11" ht="12.75" customHeight="1">
      <c r="A38" s="251"/>
      <c r="B38" s="252"/>
      <c r="C38" s="226" t="s">
        <v>69</v>
      </c>
      <c r="D38" s="257">
        <v>1920</v>
      </c>
      <c r="E38" s="257">
        <v>1920</v>
      </c>
      <c r="F38" s="277">
        <f>E38-D38</f>
        <v>0</v>
      </c>
      <c r="G38" s="278">
        <f>F38*100/D38</f>
        <v>0</v>
      </c>
      <c r="H38" s="263" t="s">
        <v>395</v>
      </c>
      <c r="I38" s="211"/>
      <c r="J38" s="211"/>
      <c r="K38" s="149">
        <f>SUM(K39+K40)</f>
        <v>1920000</v>
      </c>
    </row>
    <row r="39" spans="1:11" ht="12" customHeight="1">
      <c r="A39" s="251"/>
      <c r="B39" s="252"/>
      <c r="C39" s="226"/>
      <c r="D39" s="257"/>
      <c r="E39" s="257"/>
      <c r="F39" s="222"/>
      <c r="G39" s="222"/>
      <c r="H39" s="374" t="s">
        <v>396</v>
      </c>
      <c r="I39" s="375">
        <v>50000</v>
      </c>
      <c r="J39" s="375" t="s">
        <v>55</v>
      </c>
      <c r="K39" s="341">
        <f>SUM(I39*2*12)</f>
        <v>1200000</v>
      </c>
    </row>
    <row r="40" spans="1:11" ht="12" customHeight="1">
      <c r="A40" s="251"/>
      <c r="B40" s="252"/>
      <c r="C40" s="259"/>
      <c r="D40" s="260"/>
      <c r="E40" s="260"/>
      <c r="F40" s="276"/>
      <c r="G40" s="276"/>
      <c r="H40" s="212" t="s">
        <v>397</v>
      </c>
      <c r="I40" s="136">
        <v>30000</v>
      </c>
      <c r="J40" s="136" t="s">
        <v>55</v>
      </c>
      <c r="K40" s="142">
        <f>SUM(I40*2*12)</f>
        <v>720000</v>
      </c>
    </row>
    <row r="41" spans="1:11" ht="12.75" customHeight="1" thickBot="1">
      <c r="A41" s="264"/>
      <c r="B41" s="265"/>
      <c r="C41" s="229" t="s">
        <v>70</v>
      </c>
      <c r="D41" s="266">
        <v>2400</v>
      </c>
      <c r="E41" s="266">
        <v>2400</v>
      </c>
      <c r="F41" s="283">
        <f>E41-D41</f>
        <v>0</v>
      </c>
      <c r="G41" s="284">
        <f>F41*100/D41</f>
        <v>0</v>
      </c>
      <c r="H41" s="313" t="s">
        <v>63</v>
      </c>
      <c r="I41" s="285">
        <v>100000</v>
      </c>
      <c r="J41" s="285" t="s">
        <v>55</v>
      </c>
      <c r="K41" s="303">
        <f>SUM(I41*2*12)</f>
        <v>2400000</v>
      </c>
    </row>
    <row r="42" spans="1:11" ht="18" customHeight="1">
      <c r="A42" s="502" t="s">
        <v>5</v>
      </c>
      <c r="B42" s="576" t="s">
        <v>6</v>
      </c>
      <c r="C42" s="504" t="s">
        <v>7</v>
      </c>
      <c r="D42" s="504" t="s">
        <v>37</v>
      </c>
      <c r="E42" s="504" t="s">
        <v>36</v>
      </c>
      <c r="F42" s="544" t="s">
        <v>38</v>
      </c>
      <c r="G42" s="545"/>
      <c r="H42" s="538" t="s">
        <v>39</v>
      </c>
      <c r="I42" s="571"/>
      <c r="J42" s="571"/>
      <c r="K42" s="572"/>
    </row>
    <row r="43" spans="1:11" ht="18" customHeight="1" thickBot="1">
      <c r="A43" s="503"/>
      <c r="B43" s="577"/>
      <c r="C43" s="505"/>
      <c r="D43" s="505"/>
      <c r="E43" s="505"/>
      <c r="F43" s="269" t="s">
        <v>9</v>
      </c>
      <c r="G43" s="235" t="s">
        <v>40</v>
      </c>
      <c r="H43" s="573"/>
      <c r="I43" s="574"/>
      <c r="J43" s="574"/>
      <c r="K43" s="575"/>
    </row>
    <row r="44" spans="1:11" ht="17.25" customHeight="1" thickTop="1">
      <c r="A44" s="299" t="s">
        <v>41</v>
      </c>
      <c r="B44" s="352" t="s">
        <v>500</v>
      </c>
      <c r="C44" s="245" t="s">
        <v>13</v>
      </c>
      <c r="D44" s="246">
        <f>SUM(D45+D46+D47+D51+D54)</f>
        <v>3373</v>
      </c>
      <c r="E44" s="246">
        <f>SUM(E45+E46+E47+E51+E54)</f>
        <v>3482</v>
      </c>
      <c r="F44" s="247">
        <f>E44-D44</f>
        <v>109</v>
      </c>
      <c r="G44" s="248">
        <f>F44*100/D44</f>
        <v>3.2315446190335013</v>
      </c>
      <c r="H44" s="419"/>
      <c r="I44" s="420"/>
      <c r="J44" s="420"/>
      <c r="K44" s="421">
        <f>SUM(K45+K46+K47+K51+K54)</f>
        <v>3482000</v>
      </c>
    </row>
    <row r="45" spans="1:11" ht="13.5" customHeight="1">
      <c r="A45" s="299"/>
      <c r="B45" s="297"/>
      <c r="C45" s="227" t="s">
        <v>16</v>
      </c>
      <c r="D45" s="306">
        <v>0</v>
      </c>
      <c r="E45" s="306">
        <v>200</v>
      </c>
      <c r="F45" s="247">
        <f>E45-D45</f>
        <v>200</v>
      </c>
      <c r="G45" s="248">
        <v>0</v>
      </c>
      <c r="H45" s="366" t="s">
        <v>91</v>
      </c>
      <c r="I45" s="274">
        <v>20000</v>
      </c>
      <c r="J45" s="274" t="s">
        <v>94</v>
      </c>
      <c r="K45" s="279">
        <f>SUM(I45*10)</f>
        <v>200000</v>
      </c>
    </row>
    <row r="46" spans="1:11" ht="13.5" customHeight="1">
      <c r="A46" s="299"/>
      <c r="B46" s="297"/>
      <c r="C46" s="227" t="s">
        <v>25</v>
      </c>
      <c r="D46" s="306">
        <v>800</v>
      </c>
      <c r="E46" s="306">
        <v>702</v>
      </c>
      <c r="F46" s="247">
        <f>E46-D46</f>
        <v>-98</v>
      </c>
      <c r="G46" s="256">
        <f>F46*100/D46</f>
        <v>-12.25</v>
      </c>
      <c r="H46" s="366" t="s">
        <v>402</v>
      </c>
      <c r="I46" s="274">
        <v>70200</v>
      </c>
      <c r="J46" s="274" t="s">
        <v>94</v>
      </c>
      <c r="K46" s="279">
        <f>SUM(I46*10)</f>
        <v>702000</v>
      </c>
    </row>
    <row r="47" spans="1:11" ht="12" customHeight="1">
      <c r="A47" s="299"/>
      <c r="B47" s="297"/>
      <c r="C47" s="226" t="s">
        <v>20</v>
      </c>
      <c r="D47" s="257">
        <v>407</v>
      </c>
      <c r="E47" s="261">
        <v>580</v>
      </c>
      <c r="F47" s="277">
        <f>E47-D47</f>
        <v>173</v>
      </c>
      <c r="G47" s="256">
        <f>F47*100/D47</f>
        <v>42.5061425061425</v>
      </c>
      <c r="H47" s="366" t="s">
        <v>103</v>
      </c>
      <c r="I47" s="274"/>
      <c r="J47" s="274"/>
      <c r="K47" s="279">
        <f>SUM(K48+K49+K50)</f>
        <v>580000</v>
      </c>
    </row>
    <row r="48" spans="1:11" ht="12" customHeight="1">
      <c r="A48" s="299"/>
      <c r="B48" s="297"/>
      <c r="C48" s="226"/>
      <c r="D48" s="257"/>
      <c r="E48" s="257"/>
      <c r="F48" s="222"/>
      <c r="G48" s="222"/>
      <c r="H48" s="366" t="s">
        <v>501</v>
      </c>
      <c r="I48" s="274">
        <v>200000</v>
      </c>
      <c r="J48" s="274" t="s">
        <v>502</v>
      </c>
      <c r="K48" s="279">
        <f>SUM(I48*2)</f>
        <v>400000</v>
      </c>
    </row>
    <row r="49" spans="1:11" ht="12" customHeight="1">
      <c r="A49" s="299"/>
      <c r="B49" s="297"/>
      <c r="C49" s="226"/>
      <c r="D49" s="257"/>
      <c r="E49" s="257"/>
      <c r="F49" s="222"/>
      <c r="G49" s="222"/>
      <c r="H49" s="366" t="s">
        <v>412</v>
      </c>
      <c r="I49" s="274">
        <v>100000</v>
      </c>
      <c r="J49" s="274" t="s">
        <v>104</v>
      </c>
      <c r="K49" s="279">
        <f>SUM(I49*1)</f>
        <v>100000</v>
      </c>
    </row>
    <row r="50" spans="1:11" ht="12" customHeight="1">
      <c r="A50" s="299"/>
      <c r="B50" s="297"/>
      <c r="C50" s="259"/>
      <c r="D50" s="260"/>
      <c r="E50" s="260"/>
      <c r="F50" s="222"/>
      <c r="G50" s="222"/>
      <c r="H50" s="198" t="s">
        <v>641</v>
      </c>
      <c r="I50" s="136">
        <v>40000</v>
      </c>
      <c r="J50" s="136" t="s">
        <v>121</v>
      </c>
      <c r="K50" s="142">
        <f>SUM(I50*2)</f>
        <v>80000</v>
      </c>
    </row>
    <row r="51" spans="1:11" ht="12.75" customHeight="1">
      <c r="A51" s="299"/>
      <c r="B51" s="297"/>
      <c r="C51" s="226" t="s">
        <v>266</v>
      </c>
      <c r="D51" s="257">
        <v>1400</v>
      </c>
      <c r="E51" s="261">
        <v>1600</v>
      </c>
      <c r="F51" s="262">
        <f>E51-D51</f>
        <v>200</v>
      </c>
      <c r="G51" s="256">
        <f>F51*100/D51</f>
        <v>14.285714285714286</v>
      </c>
      <c r="H51" s="366" t="s">
        <v>503</v>
      </c>
      <c r="I51" s="274"/>
      <c r="J51" s="274"/>
      <c r="K51" s="279">
        <f>SUM(K52+K53)</f>
        <v>1600000</v>
      </c>
    </row>
    <row r="52" spans="1:11" ht="12" customHeight="1">
      <c r="A52" s="299"/>
      <c r="B52" s="297"/>
      <c r="C52" s="226"/>
      <c r="D52" s="257"/>
      <c r="E52" s="257"/>
      <c r="F52" s="222"/>
      <c r="G52" s="222"/>
      <c r="H52" s="366" t="s">
        <v>245</v>
      </c>
      <c r="I52" s="274">
        <v>100000</v>
      </c>
      <c r="J52" s="274" t="s">
        <v>49</v>
      </c>
      <c r="K52" s="279">
        <f>SUM(I52*12)</f>
        <v>1200000</v>
      </c>
    </row>
    <row r="53" spans="1:11" ht="12" customHeight="1">
      <c r="A53" s="299"/>
      <c r="B53" s="297"/>
      <c r="C53" s="259"/>
      <c r="D53" s="260"/>
      <c r="E53" s="260"/>
      <c r="F53" s="276"/>
      <c r="G53" s="276"/>
      <c r="H53" s="366" t="s">
        <v>246</v>
      </c>
      <c r="I53" s="274">
        <v>100000</v>
      </c>
      <c r="J53" s="274" t="s">
        <v>96</v>
      </c>
      <c r="K53" s="279">
        <f>SUM(I53*4)</f>
        <v>400000</v>
      </c>
    </row>
    <row r="54" spans="1:11" ht="12" customHeight="1">
      <c r="A54" s="238"/>
      <c r="B54" s="436"/>
      <c r="C54" s="259" t="s">
        <v>406</v>
      </c>
      <c r="D54" s="260">
        <v>766</v>
      </c>
      <c r="E54" s="306">
        <v>400</v>
      </c>
      <c r="F54" s="247">
        <f>E54-D54</f>
        <v>-366</v>
      </c>
      <c r="G54" s="248">
        <f>F54*100/D54</f>
        <v>-47.78067885117493</v>
      </c>
      <c r="H54" s="212" t="s">
        <v>407</v>
      </c>
      <c r="I54" s="136">
        <v>100000</v>
      </c>
      <c r="J54" s="136" t="s">
        <v>96</v>
      </c>
      <c r="K54" s="142">
        <f>SUM(I54*4)</f>
        <v>400000</v>
      </c>
    </row>
    <row r="55" spans="1:11" ht="13.5" customHeight="1">
      <c r="A55" s="299" t="s">
        <v>415</v>
      </c>
      <c r="B55" s="352" t="s">
        <v>26</v>
      </c>
      <c r="C55" s="307" t="s">
        <v>13</v>
      </c>
      <c r="D55" s="310">
        <f>SUM(D56+D57+D58)</f>
        <v>600</v>
      </c>
      <c r="E55" s="310">
        <f>SUM(E56+E57+E58)</f>
        <v>0</v>
      </c>
      <c r="F55" s="311">
        <f aca="true" t="shared" si="0" ref="F55:F78">E55-D55</f>
        <v>-600</v>
      </c>
      <c r="G55" s="241">
        <f>F55*100/D55</f>
        <v>-100</v>
      </c>
      <c r="H55" s="422"/>
      <c r="I55" s="312"/>
      <c r="J55" s="312"/>
      <c r="K55" s="279"/>
    </row>
    <row r="56" spans="1:11" ht="12" customHeight="1">
      <c r="A56" s="299" t="s">
        <v>834</v>
      </c>
      <c r="B56" s="297"/>
      <c r="C56" s="227" t="s">
        <v>27</v>
      </c>
      <c r="D56" s="306">
        <v>600</v>
      </c>
      <c r="E56" s="306">
        <v>0</v>
      </c>
      <c r="F56" s="247">
        <f t="shared" si="0"/>
        <v>-600</v>
      </c>
      <c r="G56" s="248">
        <v>0</v>
      </c>
      <c r="H56" s="366"/>
      <c r="I56" s="274"/>
      <c r="J56" s="274"/>
      <c r="K56" s="279"/>
    </row>
    <row r="57" spans="1:11" ht="12" customHeight="1">
      <c r="A57" s="299"/>
      <c r="B57" s="297"/>
      <c r="C57" s="227" t="s">
        <v>28</v>
      </c>
      <c r="D57" s="306">
        <v>0</v>
      </c>
      <c r="E57" s="306">
        <v>0</v>
      </c>
      <c r="F57" s="247">
        <f t="shared" si="0"/>
        <v>0</v>
      </c>
      <c r="G57" s="248">
        <v>0</v>
      </c>
      <c r="H57" s="366"/>
      <c r="I57" s="274"/>
      <c r="J57" s="274"/>
      <c r="K57" s="279"/>
    </row>
    <row r="58" spans="1:11" ht="12" customHeight="1">
      <c r="A58" s="238"/>
      <c r="B58" s="436"/>
      <c r="C58" s="259" t="s">
        <v>29</v>
      </c>
      <c r="D58" s="260">
        <v>0</v>
      </c>
      <c r="E58" s="260">
        <v>0</v>
      </c>
      <c r="F58" s="247">
        <f t="shared" si="0"/>
        <v>0</v>
      </c>
      <c r="G58" s="248">
        <v>0</v>
      </c>
      <c r="H58" s="212"/>
      <c r="I58" s="136"/>
      <c r="J58" s="136"/>
      <c r="K58" s="142"/>
    </row>
    <row r="59" spans="1:11" ht="13.5" customHeight="1">
      <c r="A59" s="299" t="s">
        <v>111</v>
      </c>
      <c r="B59" s="570" t="s">
        <v>11</v>
      </c>
      <c r="C59" s="551"/>
      <c r="D59" s="137">
        <f>SUM(D61:D79)</f>
        <v>40890</v>
      </c>
      <c r="E59" s="136">
        <f>SUM(E61:E79)</f>
        <v>46000</v>
      </c>
      <c r="F59" s="311">
        <f t="shared" si="0"/>
        <v>5110</v>
      </c>
      <c r="G59" s="241">
        <f>F59*100/D59</f>
        <v>12.496943017852775</v>
      </c>
      <c r="H59" s="243"/>
      <c r="I59" s="243"/>
      <c r="J59" s="243"/>
      <c r="K59" s="142">
        <f>SUM(K61:K79)</f>
        <v>46000000</v>
      </c>
    </row>
    <row r="60" spans="1:11" ht="13.5" customHeight="1">
      <c r="A60" s="251"/>
      <c r="B60" s="383" t="s">
        <v>21</v>
      </c>
      <c r="C60" s="384" t="s">
        <v>13</v>
      </c>
      <c r="D60" s="137">
        <f>SUM(D61:D79)</f>
        <v>40890</v>
      </c>
      <c r="E60" s="136">
        <f>SUM(E61:E79)</f>
        <v>46000</v>
      </c>
      <c r="F60" s="247">
        <f t="shared" si="0"/>
        <v>5110</v>
      </c>
      <c r="G60" s="248">
        <f>F60*100/D60</f>
        <v>12.496943017852775</v>
      </c>
      <c r="H60" s="263" t="s">
        <v>504</v>
      </c>
      <c r="I60" s="211"/>
      <c r="J60" s="211"/>
      <c r="K60" s="149">
        <f>SUM(K61:K79)</f>
        <v>46000000</v>
      </c>
    </row>
    <row r="61" spans="1:11" ht="12" customHeight="1">
      <c r="A61" s="251"/>
      <c r="B61" s="352"/>
      <c r="C61" s="343" t="s">
        <v>505</v>
      </c>
      <c r="D61" s="257">
        <v>0</v>
      </c>
      <c r="E61" s="253">
        <v>0</v>
      </c>
      <c r="F61" s="262">
        <v>0</v>
      </c>
      <c r="G61" s="256">
        <v>0</v>
      </c>
      <c r="H61" s="366" t="s">
        <v>506</v>
      </c>
      <c r="I61" s="274"/>
      <c r="J61" s="274"/>
      <c r="K61" s="279"/>
    </row>
    <row r="62" spans="1:11" ht="12" customHeight="1">
      <c r="A62" s="251"/>
      <c r="B62" s="352"/>
      <c r="C62" s="259"/>
      <c r="D62" s="260"/>
      <c r="E62" s="260"/>
      <c r="F62" s="311"/>
      <c r="G62" s="241"/>
      <c r="H62" s="212" t="s">
        <v>507</v>
      </c>
      <c r="I62" s="136"/>
      <c r="J62" s="136"/>
      <c r="K62" s="142"/>
    </row>
    <row r="63" spans="1:11" ht="12" customHeight="1">
      <c r="A63" s="251"/>
      <c r="B63" s="352"/>
      <c r="C63" s="227" t="s">
        <v>508</v>
      </c>
      <c r="D63" s="306">
        <v>0</v>
      </c>
      <c r="E63" s="306">
        <v>0</v>
      </c>
      <c r="F63" s="247">
        <f t="shared" si="0"/>
        <v>0</v>
      </c>
      <c r="G63" s="248">
        <v>0</v>
      </c>
      <c r="H63" s="263" t="s">
        <v>825</v>
      </c>
      <c r="I63" s="211"/>
      <c r="J63" s="211"/>
      <c r="K63" s="149"/>
    </row>
    <row r="64" spans="1:11" ht="12" customHeight="1">
      <c r="A64" s="251"/>
      <c r="B64" s="352"/>
      <c r="C64" s="231" t="s">
        <v>509</v>
      </c>
      <c r="D64" s="316">
        <v>160</v>
      </c>
      <c r="E64" s="325">
        <v>1450</v>
      </c>
      <c r="F64" s="262">
        <f t="shared" si="0"/>
        <v>1290</v>
      </c>
      <c r="G64" s="256">
        <f>F64*100/D64</f>
        <v>806.25</v>
      </c>
      <c r="H64" s="374" t="s">
        <v>510</v>
      </c>
      <c r="I64" s="375">
        <v>1350000</v>
      </c>
      <c r="J64" s="375" t="s">
        <v>104</v>
      </c>
      <c r="K64" s="341">
        <f>SUM(I64*1)</f>
        <v>1350000</v>
      </c>
    </row>
    <row r="65" spans="1:11" ht="12" customHeight="1">
      <c r="A65" s="251"/>
      <c r="B65" s="352"/>
      <c r="C65" s="343"/>
      <c r="D65" s="261"/>
      <c r="E65" s="298"/>
      <c r="F65" s="277"/>
      <c r="G65" s="278"/>
      <c r="H65" s="366" t="s">
        <v>826</v>
      </c>
      <c r="I65" s="274">
        <v>10000</v>
      </c>
      <c r="J65" s="274" t="s">
        <v>94</v>
      </c>
      <c r="K65" s="279">
        <f>SUM(I65*10)</f>
        <v>100000</v>
      </c>
    </row>
    <row r="66" spans="1:11" ht="12" customHeight="1">
      <c r="A66" s="251"/>
      <c r="B66" s="352"/>
      <c r="C66" s="259"/>
      <c r="D66" s="260"/>
      <c r="E66" s="260"/>
      <c r="F66" s="311"/>
      <c r="G66" s="241"/>
      <c r="H66" s="212" t="s">
        <v>827</v>
      </c>
      <c r="I66" s="136"/>
      <c r="J66" s="136"/>
      <c r="K66" s="142"/>
    </row>
    <row r="67" spans="1:11" ht="12" customHeight="1">
      <c r="A67" s="251"/>
      <c r="B67" s="352"/>
      <c r="C67" s="343" t="s">
        <v>828</v>
      </c>
      <c r="D67" s="257">
        <v>400</v>
      </c>
      <c r="E67" s="261">
        <v>220</v>
      </c>
      <c r="F67" s="247">
        <f>E67-D67</f>
        <v>-180</v>
      </c>
      <c r="G67" s="248">
        <f>F67*100/D67</f>
        <v>-45</v>
      </c>
      <c r="H67" s="374" t="s">
        <v>829</v>
      </c>
      <c r="I67" s="375">
        <v>10000</v>
      </c>
      <c r="J67" s="375" t="s">
        <v>737</v>
      </c>
      <c r="K67" s="341">
        <f>SUM(I67*12)</f>
        <v>120000</v>
      </c>
    </row>
    <row r="68" spans="1:11" ht="12" customHeight="1">
      <c r="A68" s="251"/>
      <c r="B68" s="352"/>
      <c r="C68" s="343"/>
      <c r="D68" s="257"/>
      <c r="E68" s="261"/>
      <c r="F68" s="247"/>
      <c r="G68" s="248"/>
      <c r="H68" s="212" t="s">
        <v>830</v>
      </c>
      <c r="I68" s="136"/>
      <c r="J68" s="136"/>
      <c r="K68" s="142">
        <v>100000</v>
      </c>
    </row>
    <row r="69" spans="1:11" ht="12" customHeight="1">
      <c r="A69" s="251"/>
      <c r="B69" s="355"/>
      <c r="C69" s="230" t="s">
        <v>511</v>
      </c>
      <c r="D69" s="253">
        <v>100</v>
      </c>
      <c r="E69" s="253">
        <v>0</v>
      </c>
      <c r="F69" s="262">
        <f t="shared" si="0"/>
        <v>-100</v>
      </c>
      <c r="G69" s="256">
        <f>F69*100/D69</f>
        <v>-100</v>
      </c>
      <c r="H69" s="366" t="s">
        <v>512</v>
      </c>
      <c r="I69" s="274"/>
      <c r="J69" s="274"/>
      <c r="K69" s="279"/>
    </row>
    <row r="70" spans="1:11" ht="12" customHeight="1">
      <c r="A70" s="251"/>
      <c r="B70" s="355"/>
      <c r="C70" s="259"/>
      <c r="D70" s="260"/>
      <c r="E70" s="260"/>
      <c r="F70" s="311"/>
      <c r="G70" s="241"/>
      <c r="H70" s="212" t="s">
        <v>513</v>
      </c>
      <c r="I70" s="136"/>
      <c r="J70" s="136"/>
      <c r="K70" s="142"/>
    </row>
    <row r="71" spans="1:11" ht="12" customHeight="1">
      <c r="A71" s="251"/>
      <c r="B71" s="352"/>
      <c r="C71" s="275" t="s">
        <v>514</v>
      </c>
      <c r="D71" s="260">
        <v>100</v>
      </c>
      <c r="E71" s="242">
        <v>0</v>
      </c>
      <c r="F71" s="247">
        <f t="shared" si="0"/>
        <v>-100</v>
      </c>
      <c r="G71" s="248">
        <f>F71*100/D71</f>
        <v>-100</v>
      </c>
      <c r="H71" s="263" t="s">
        <v>515</v>
      </c>
      <c r="I71" s="211"/>
      <c r="J71" s="211"/>
      <c r="K71" s="149"/>
    </row>
    <row r="72" spans="1:11" ht="12" customHeight="1">
      <c r="A72" s="251"/>
      <c r="B72" s="352"/>
      <c r="C72" s="343" t="s">
        <v>516</v>
      </c>
      <c r="D72" s="257">
        <v>100</v>
      </c>
      <c r="E72" s="253">
        <v>570</v>
      </c>
      <c r="F72" s="262">
        <f t="shared" si="0"/>
        <v>470</v>
      </c>
      <c r="G72" s="256">
        <f>F72*100/D72</f>
        <v>470</v>
      </c>
      <c r="H72" s="366" t="s">
        <v>832</v>
      </c>
      <c r="I72" s="274"/>
      <c r="J72" s="274"/>
      <c r="K72" s="279">
        <v>30000</v>
      </c>
    </row>
    <row r="73" spans="1:11" ht="12" customHeight="1">
      <c r="A73" s="251"/>
      <c r="B73" s="352"/>
      <c r="C73" s="343"/>
      <c r="D73" s="257"/>
      <c r="E73" s="257"/>
      <c r="F73" s="277"/>
      <c r="G73" s="278"/>
      <c r="H73" s="366" t="s">
        <v>831</v>
      </c>
      <c r="I73" s="274">
        <v>20000</v>
      </c>
      <c r="J73" s="274" t="s">
        <v>94</v>
      </c>
      <c r="K73" s="279">
        <f>SUM(I73*10)</f>
        <v>200000</v>
      </c>
    </row>
    <row r="74" spans="1:11" ht="12" customHeight="1">
      <c r="A74" s="251"/>
      <c r="B74" s="352"/>
      <c r="C74" s="343"/>
      <c r="D74" s="257"/>
      <c r="E74" s="257"/>
      <c r="F74" s="277"/>
      <c r="G74" s="278"/>
      <c r="H74" s="366" t="s">
        <v>442</v>
      </c>
      <c r="I74" s="274">
        <v>140000</v>
      </c>
      <c r="J74" s="274" t="s">
        <v>104</v>
      </c>
      <c r="K74" s="279">
        <f>SUM(I74*1)</f>
        <v>140000</v>
      </c>
    </row>
    <row r="75" spans="1:11" ht="12" customHeight="1">
      <c r="A75" s="251"/>
      <c r="B75" s="352"/>
      <c r="C75" s="259"/>
      <c r="D75" s="260"/>
      <c r="E75" s="260"/>
      <c r="F75" s="311"/>
      <c r="G75" s="241"/>
      <c r="H75" s="212" t="s">
        <v>517</v>
      </c>
      <c r="I75" s="136">
        <v>50000</v>
      </c>
      <c r="J75" s="136" t="s">
        <v>96</v>
      </c>
      <c r="K75" s="142">
        <f>SUM(I75*4)</f>
        <v>200000</v>
      </c>
    </row>
    <row r="76" spans="1:11" ht="12" customHeight="1">
      <c r="A76" s="251"/>
      <c r="B76" s="352"/>
      <c r="C76" s="343" t="s">
        <v>518</v>
      </c>
      <c r="D76" s="257">
        <v>39960</v>
      </c>
      <c r="E76" s="253">
        <v>43360</v>
      </c>
      <c r="F76" s="262">
        <f t="shared" si="0"/>
        <v>3400</v>
      </c>
      <c r="G76" s="256">
        <f>F76*100/D76</f>
        <v>8.508508508508509</v>
      </c>
      <c r="H76" s="366" t="s">
        <v>519</v>
      </c>
      <c r="I76" s="274"/>
      <c r="J76" s="274"/>
      <c r="K76" s="279">
        <v>160000</v>
      </c>
    </row>
    <row r="77" spans="1:11" ht="12" customHeight="1">
      <c r="A77" s="251"/>
      <c r="B77" s="352"/>
      <c r="C77" s="259"/>
      <c r="D77" s="260"/>
      <c r="E77" s="260"/>
      <c r="F77" s="311"/>
      <c r="G77" s="241"/>
      <c r="H77" s="212" t="s">
        <v>520</v>
      </c>
      <c r="I77" s="136">
        <v>3600000</v>
      </c>
      <c r="J77" s="136" t="s">
        <v>49</v>
      </c>
      <c r="K77" s="142">
        <f>SUM(I77*12)</f>
        <v>43200000</v>
      </c>
    </row>
    <row r="78" spans="1:11" ht="12" customHeight="1">
      <c r="A78" s="251"/>
      <c r="B78" s="352"/>
      <c r="C78" s="227" t="s">
        <v>260</v>
      </c>
      <c r="D78" s="306">
        <v>0</v>
      </c>
      <c r="E78" s="306">
        <v>150</v>
      </c>
      <c r="F78" s="247">
        <f t="shared" si="0"/>
        <v>150</v>
      </c>
      <c r="G78" s="248">
        <v>0</v>
      </c>
      <c r="H78" s="263" t="s">
        <v>833</v>
      </c>
      <c r="I78" s="211">
        <v>150000</v>
      </c>
      <c r="J78" s="211" t="s">
        <v>104</v>
      </c>
      <c r="K78" s="149">
        <f>SUM(I78*1)</f>
        <v>150000</v>
      </c>
    </row>
    <row r="79" spans="1:11" ht="12" customHeight="1">
      <c r="A79" s="413"/>
      <c r="B79" s="353"/>
      <c r="C79" s="275" t="s">
        <v>261</v>
      </c>
      <c r="D79" s="260">
        <v>70</v>
      </c>
      <c r="E79" s="260">
        <v>250</v>
      </c>
      <c r="F79" s="240">
        <f>E79-D79</f>
        <v>180</v>
      </c>
      <c r="G79" s="241">
        <f>F79*100/D79</f>
        <v>257.14285714285717</v>
      </c>
      <c r="H79" s="212" t="s">
        <v>521</v>
      </c>
      <c r="I79" s="136"/>
      <c r="J79" s="136"/>
      <c r="K79" s="142">
        <v>250000</v>
      </c>
    </row>
    <row r="80" spans="1:11" ht="16.5" customHeight="1" thickBot="1">
      <c r="A80" s="386" t="s">
        <v>228</v>
      </c>
      <c r="B80" s="358" t="s">
        <v>32</v>
      </c>
      <c r="C80" s="359" t="s">
        <v>33</v>
      </c>
      <c r="D80" s="266">
        <v>0</v>
      </c>
      <c r="E80" s="266">
        <v>198</v>
      </c>
      <c r="F80" s="385">
        <f>E80-D80</f>
        <v>198</v>
      </c>
      <c r="G80" s="284">
        <v>0</v>
      </c>
      <c r="H80" s="313" t="s">
        <v>522</v>
      </c>
      <c r="I80" s="285"/>
      <c r="J80" s="285"/>
      <c r="K80" s="303">
        <v>198000</v>
      </c>
    </row>
    <row r="81" spans="1:11" ht="24" customHeight="1">
      <c r="A81" s="556" t="s">
        <v>849</v>
      </c>
      <c r="B81" s="556"/>
      <c r="C81" s="556"/>
      <c r="D81" s="556"/>
      <c r="E81" s="556"/>
      <c r="F81" s="556"/>
      <c r="G81" s="556"/>
      <c r="H81" s="556"/>
      <c r="I81" s="556"/>
      <c r="J81" s="556"/>
      <c r="K81" s="556"/>
    </row>
    <row r="82" spans="1:11" ht="21" customHeight="1" thickBot="1">
      <c r="A82" s="560" t="s">
        <v>35</v>
      </c>
      <c r="B82" s="560"/>
      <c r="C82" s="560"/>
      <c r="D82" s="560"/>
      <c r="E82" s="560"/>
      <c r="F82" s="560"/>
      <c r="G82" s="560"/>
      <c r="H82" s="560"/>
      <c r="I82" s="560"/>
      <c r="J82" s="560"/>
      <c r="K82" s="560"/>
    </row>
    <row r="83" spans="1:11" ht="13.5">
      <c r="A83" s="502" t="s">
        <v>5</v>
      </c>
      <c r="B83" s="504" t="s">
        <v>6</v>
      </c>
      <c r="C83" s="504" t="s">
        <v>7</v>
      </c>
      <c r="D83" s="504" t="s">
        <v>37</v>
      </c>
      <c r="E83" s="504" t="s">
        <v>36</v>
      </c>
      <c r="F83" s="544" t="s">
        <v>38</v>
      </c>
      <c r="G83" s="545"/>
      <c r="H83" s="538" t="s">
        <v>39</v>
      </c>
      <c r="I83" s="539"/>
      <c r="J83" s="539"/>
      <c r="K83" s="540"/>
    </row>
    <row r="84" spans="1:11" ht="14.25" thickBot="1">
      <c r="A84" s="503"/>
      <c r="B84" s="505"/>
      <c r="C84" s="505"/>
      <c r="D84" s="505"/>
      <c r="E84" s="505"/>
      <c r="F84" s="234" t="s">
        <v>9</v>
      </c>
      <c r="G84" s="235" t="s">
        <v>40</v>
      </c>
      <c r="H84" s="541"/>
      <c r="I84" s="542"/>
      <c r="J84" s="542"/>
      <c r="K84" s="543"/>
    </row>
    <row r="85" spans="1:11" ht="24" customHeight="1" thickBot="1" thickTop="1">
      <c r="A85" s="553" t="s">
        <v>523</v>
      </c>
      <c r="B85" s="554"/>
      <c r="C85" s="567"/>
      <c r="D85" s="376">
        <f>SUM(D86+D97+D99+D102)</f>
        <v>104048</v>
      </c>
      <c r="E85" s="376">
        <f>SUM(E86+E97+E99+E102)</f>
        <v>108807</v>
      </c>
      <c r="F85" s="377">
        <f aca="true" t="shared" si="1" ref="F85:F90">E85-D85</f>
        <v>4759</v>
      </c>
      <c r="G85" s="236">
        <f>F85*100/D85</f>
        <v>4.573850530524373</v>
      </c>
      <c r="H85" s="237"/>
      <c r="I85" s="378"/>
      <c r="J85" s="378"/>
      <c r="K85" s="379">
        <f>SUM(K86+K97+K99+K102)</f>
        <v>108806546</v>
      </c>
    </row>
    <row r="86" spans="1:11" ht="23.25" customHeight="1">
      <c r="A86" s="270" t="s">
        <v>231</v>
      </c>
      <c r="B86" s="550" t="s">
        <v>11</v>
      </c>
      <c r="C86" s="551"/>
      <c r="D86" s="137">
        <f>SUM(D88+D89+D90+D93)</f>
        <v>99396</v>
      </c>
      <c r="E86" s="137">
        <f>SUM(E88+E89+E90+E93)</f>
        <v>108782</v>
      </c>
      <c r="F86" s="240">
        <f t="shared" si="1"/>
        <v>9386</v>
      </c>
      <c r="G86" s="241">
        <f>F86*100/D86</f>
        <v>9.443035937059841</v>
      </c>
      <c r="H86" s="424" t="s">
        <v>471</v>
      </c>
      <c r="I86" s="243"/>
      <c r="J86" s="243"/>
      <c r="K86" s="279">
        <f>SUM(K88+K89+K90+K93)</f>
        <v>108782000</v>
      </c>
    </row>
    <row r="87" spans="1:11" ht="19.5" customHeight="1">
      <c r="A87" s="270" t="s">
        <v>232</v>
      </c>
      <c r="B87" s="219" t="s">
        <v>472</v>
      </c>
      <c r="C87" s="232" t="s">
        <v>13</v>
      </c>
      <c r="D87" s="203">
        <f>SUM(D88+D89+D90)</f>
        <v>58596</v>
      </c>
      <c r="E87" s="203">
        <f>SUM(E88+E89+E90)</f>
        <v>60282</v>
      </c>
      <c r="F87" s="326">
        <f t="shared" si="1"/>
        <v>1686</v>
      </c>
      <c r="G87" s="256">
        <f>F87*100/D87</f>
        <v>2.877329510546795</v>
      </c>
      <c r="H87" s="249"/>
      <c r="I87" s="250"/>
      <c r="J87" s="250"/>
      <c r="K87" s="142">
        <f>SUM(K88+K89+K90)</f>
        <v>60282000</v>
      </c>
    </row>
    <row r="88" spans="1:11" ht="19.5" customHeight="1">
      <c r="A88" s="251"/>
      <c r="B88" s="280"/>
      <c r="C88" s="227" t="s">
        <v>524</v>
      </c>
      <c r="D88" s="306">
        <v>0</v>
      </c>
      <c r="E88" s="203">
        <v>56727</v>
      </c>
      <c r="F88" s="247">
        <f t="shared" si="1"/>
        <v>56727</v>
      </c>
      <c r="G88" s="248">
        <v>0</v>
      </c>
      <c r="H88" s="263" t="s">
        <v>525</v>
      </c>
      <c r="I88" s="211"/>
      <c r="J88" s="211"/>
      <c r="K88" s="149">
        <v>56727000</v>
      </c>
    </row>
    <row r="89" spans="1:11" ht="19.5" customHeight="1">
      <c r="A89" s="251"/>
      <c r="B89" s="280"/>
      <c r="C89" s="227" t="s">
        <v>267</v>
      </c>
      <c r="D89" s="306">
        <v>2400</v>
      </c>
      <c r="E89" s="203">
        <v>2400</v>
      </c>
      <c r="F89" s="247">
        <f t="shared" si="1"/>
        <v>0</v>
      </c>
      <c r="G89" s="248">
        <v>0</v>
      </c>
      <c r="H89" s="263" t="s">
        <v>63</v>
      </c>
      <c r="I89" s="211"/>
      <c r="J89" s="211"/>
      <c r="K89" s="149">
        <v>2400000</v>
      </c>
    </row>
    <row r="90" spans="1:11" ht="19.5" customHeight="1">
      <c r="A90" s="251"/>
      <c r="B90" s="252"/>
      <c r="C90" s="230" t="s">
        <v>526</v>
      </c>
      <c r="D90" s="253">
        <v>56196</v>
      </c>
      <c r="E90" s="325">
        <v>1155</v>
      </c>
      <c r="F90" s="262">
        <f t="shared" si="1"/>
        <v>-55041</v>
      </c>
      <c r="G90" s="256">
        <f>F90*100/D90</f>
        <v>-97.94469357249626</v>
      </c>
      <c r="H90" s="263" t="s">
        <v>850</v>
      </c>
      <c r="I90" s="211"/>
      <c r="J90" s="211"/>
      <c r="K90" s="149">
        <v>1155000</v>
      </c>
    </row>
    <row r="91" spans="1:11" ht="19.5" customHeight="1">
      <c r="A91" s="251"/>
      <c r="B91" s="252"/>
      <c r="C91" s="226"/>
      <c r="D91" s="257"/>
      <c r="E91" s="298"/>
      <c r="F91" s="277"/>
      <c r="G91" s="278"/>
      <c r="H91" s="366"/>
      <c r="I91" s="274"/>
      <c r="J91" s="274"/>
      <c r="K91" s="279"/>
    </row>
    <row r="92" spans="1:11" ht="19.5" customHeight="1">
      <c r="A92" s="251"/>
      <c r="B92" s="307"/>
      <c r="C92" s="259"/>
      <c r="D92" s="260"/>
      <c r="E92" s="137"/>
      <c r="F92" s="311"/>
      <c r="G92" s="241"/>
      <c r="H92" s="212"/>
      <c r="I92" s="136"/>
      <c r="J92" s="136"/>
      <c r="K92" s="142"/>
    </row>
    <row r="93" spans="1:11" ht="19.5" customHeight="1">
      <c r="A93" s="270"/>
      <c r="B93" s="233" t="s">
        <v>234</v>
      </c>
      <c r="C93" s="252" t="s">
        <v>13</v>
      </c>
      <c r="D93" s="137">
        <f>SUM(D94)</f>
        <v>40800</v>
      </c>
      <c r="E93" s="137">
        <f>SUM(E94)</f>
        <v>48500</v>
      </c>
      <c r="F93" s="387">
        <f>E93-D93</f>
        <v>7700</v>
      </c>
      <c r="G93" s="278">
        <f>F93*100/D93</f>
        <v>18.872549019607842</v>
      </c>
      <c r="H93" s="381" t="s">
        <v>236</v>
      </c>
      <c r="I93" s="312"/>
      <c r="J93" s="312"/>
      <c r="K93" s="149">
        <f>SUM(K94)</f>
        <v>48500000</v>
      </c>
    </row>
    <row r="94" spans="1:11" ht="19.5" customHeight="1">
      <c r="A94" s="251"/>
      <c r="B94" s="252"/>
      <c r="C94" s="230" t="s">
        <v>235</v>
      </c>
      <c r="D94" s="253">
        <v>40800</v>
      </c>
      <c r="E94" s="325">
        <v>48500</v>
      </c>
      <c r="F94" s="262">
        <f>E94-D94</f>
        <v>7700</v>
      </c>
      <c r="G94" s="256">
        <f>F94*100/D94</f>
        <v>18.872549019607842</v>
      </c>
      <c r="H94" s="263" t="s">
        <v>527</v>
      </c>
      <c r="I94" s="211"/>
      <c r="J94" s="211"/>
      <c r="K94" s="149">
        <f>SUM(K95:K96)</f>
        <v>48500000</v>
      </c>
    </row>
    <row r="95" spans="1:11" ht="19.5" customHeight="1">
      <c r="A95" s="251"/>
      <c r="B95" s="252"/>
      <c r="C95" s="226"/>
      <c r="D95" s="257"/>
      <c r="E95" s="298"/>
      <c r="F95" s="277"/>
      <c r="G95" s="278"/>
      <c r="H95" s="381" t="s">
        <v>528</v>
      </c>
      <c r="I95" s="388"/>
      <c r="J95" s="388"/>
      <c r="K95" s="149">
        <v>5300000</v>
      </c>
    </row>
    <row r="96" spans="1:11" ht="19.5" customHeight="1">
      <c r="A96" s="413"/>
      <c r="B96" s="307"/>
      <c r="C96" s="259"/>
      <c r="D96" s="260"/>
      <c r="E96" s="137"/>
      <c r="F96" s="311"/>
      <c r="G96" s="241"/>
      <c r="H96" s="263" t="s">
        <v>248</v>
      </c>
      <c r="I96" s="211">
        <v>3600000</v>
      </c>
      <c r="J96" s="211" t="s">
        <v>49</v>
      </c>
      <c r="K96" s="149">
        <f>SUM(I96*12)</f>
        <v>43200000</v>
      </c>
    </row>
    <row r="97" spans="1:11" ht="19.5" customHeight="1">
      <c r="A97" s="299" t="s">
        <v>237</v>
      </c>
      <c r="B97" s="568" t="s">
        <v>11</v>
      </c>
      <c r="C97" s="551"/>
      <c r="D97" s="137">
        <f>SUM(D98)</f>
        <v>0</v>
      </c>
      <c r="E97" s="137">
        <f>SUM(E98)</f>
        <v>0</v>
      </c>
      <c r="F97" s="240"/>
      <c r="G97" s="451"/>
      <c r="H97" s="380"/>
      <c r="I97" s="243"/>
      <c r="J97" s="243"/>
      <c r="K97" s="142"/>
    </row>
    <row r="98" spans="1:11" ht="19.5" customHeight="1">
      <c r="A98" s="413"/>
      <c r="B98" s="417" t="s">
        <v>31</v>
      </c>
      <c r="C98" s="320" t="s">
        <v>529</v>
      </c>
      <c r="D98" s="211">
        <v>0</v>
      </c>
      <c r="E98" s="203">
        <v>0</v>
      </c>
      <c r="F98" s="315"/>
      <c r="G98" s="248"/>
      <c r="H98" s="381"/>
      <c r="I98" s="388"/>
      <c r="J98" s="388"/>
      <c r="K98" s="149"/>
    </row>
    <row r="99" spans="1:11" ht="19.5" customHeight="1">
      <c r="A99" s="299" t="s">
        <v>238</v>
      </c>
      <c r="B99" s="570" t="s">
        <v>11</v>
      </c>
      <c r="C99" s="551"/>
      <c r="D99" s="137">
        <f>SUM(D101:D101)</f>
        <v>304</v>
      </c>
      <c r="E99" s="137">
        <f>SUM(E101:E101)</f>
        <v>25</v>
      </c>
      <c r="F99" s="240">
        <f aca="true" t="shared" si="2" ref="F99:F105">E99-D99</f>
        <v>-279</v>
      </c>
      <c r="G99" s="241">
        <f aca="true" t="shared" si="3" ref="G99:G105">F99*100/D99</f>
        <v>-91.77631578947368</v>
      </c>
      <c r="H99" s="380" t="s">
        <v>473</v>
      </c>
      <c r="I99" s="243"/>
      <c r="J99" s="243"/>
      <c r="K99" s="142">
        <f>SUM(K101:K101)</f>
        <v>24546</v>
      </c>
    </row>
    <row r="100" spans="1:11" ht="19.5" customHeight="1">
      <c r="A100" s="299"/>
      <c r="B100" s="383" t="s">
        <v>15</v>
      </c>
      <c r="C100" s="321" t="s">
        <v>13</v>
      </c>
      <c r="D100" s="203">
        <f>SUM(D101:D101)</f>
        <v>304</v>
      </c>
      <c r="E100" s="203">
        <f>SUM(E101:E101)</f>
        <v>25</v>
      </c>
      <c r="F100" s="315">
        <f t="shared" si="2"/>
        <v>-279</v>
      </c>
      <c r="G100" s="248">
        <f t="shared" si="3"/>
        <v>-91.77631578947368</v>
      </c>
      <c r="H100" s="381"/>
      <c r="I100" s="250"/>
      <c r="J100" s="243"/>
      <c r="K100" s="149">
        <f>SUM(K101:K101)</f>
        <v>24546</v>
      </c>
    </row>
    <row r="101" spans="1:11" ht="19.5" customHeight="1">
      <c r="A101" s="238"/>
      <c r="B101" s="436"/>
      <c r="C101" s="393" t="s">
        <v>257</v>
      </c>
      <c r="D101" s="211">
        <v>304</v>
      </c>
      <c r="E101" s="203">
        <v>25</v>
      </c>
      <c r="F101" s="315">
        <f t="shared" si="2"/>
        <v>-279</v>
      </c>
      <c r="G101" s="248">
        <f t="shared" si="3"/>
        <v>-91.77631578947368</v>
      </c>
      <c r="H101" s="381" t="s">
        <v>530</v>
      </c>
      <c r="I101" s="388"/>
      <c r="J101" s="388"/>
      <c r="K101" s="149">
        <v>24546</v>
      </c>
    </row>
    <row r="102" spans="1:11" ht="19.5" customHeight="1">
      <c r="A102" s="299" t="s">
        <v>239</v>
      </c>
      <c r="B102" s="570" t="s">
        <v>11</v>
      </c>
      <c r="C102" s="551"/>
      <c r="D102" s="137">
        <f>SUM(D104:D106)</f>
        <v>4348</v>
      </c>
      <c r="E102" s="137">
        <v>0</v>
      </c>
      <c r="F102" s="240">
        <f t="shared" si="2"/>
        <v>-4348</v>
      </c>
      <c r="G102" s="241">
        <f t="shared" si="3"/>
        <v>-100</v>
      </c>
      <c r="H102" s="380" t="s">
        <v>242</v>
      </c>
      <c r="I102" s="243"/>
      <c r="J102" s="243"/>
      <c r="K102" s="142">
        <f>SUM(K104:K106)</f>
        <v>0</v>
      </c>
    </row>
    <row r="103" spans="1:11" ht="19.5" customHeight="1">
      <c r="A103" s="299"/>
      <c r="B103" s="383" t="s">
        <v>17</v>
      </c>
      <c r="C103" s="321" t="s">
        <v>13</v>
      </c>
      <c r="D103" s="203">
        <f>SUM(D104:D106)</f>
        <v>4348</v>
      </c>
      <c r="E103" s="203">
        <f>SUM(E104:E106)</f>
        <v>0</v>
      </c>
      <c r="F103" s="315">
        <f t="shared" si="2"/>
        <v>-4348</v>
      </c>
      <c r="G103" s="248">
        <f t="shared" si="3"/>
        <v>-100</v>
      </c>
      <c r="H103" s="381"/>
      <c r="I103" s="250"/>
      <c r="J103" s="243"/>
      <c r="K103" s="149">
        <f>SUM(K104:K106)</f>
        <v>0</v>
      </c>
    </row>
    <row r="104" spans="1:11" ht="19.5" customHeight="1">
      <c r="A104" s="299"/>
      <c r="B104" s="297"/>
      <c r="C104" s="393" t="s">
        <v>240</v>
      </c>
      <c r="D104" s="211">
        <v>3</v>
      </c>
      <c r="E104" s="203">
        <v>0</v>
      </c>
      <c r="F104" s="315">
        <f t="shared" si="2"/>
        <v>-3</v>
      </c>
      <c r="G104" s="248">
        <f t="shared" si="3"/>
        <v>-100</v>
      </c>
      <c r="H104" s="381" t="s">
        <v>474</v>
      </c>
      <c r="I104" s="250"/>
      <c r="J104" s="312"/>
      <c r="K104" s="149">
        <v>0</v>
      </c>
    </row>
    <row r="105" spans="1:11" ht="19.5" customHeight="1" thickBot="1">
      <c r="A105" s="301"/>
      <c r="B105" s="382"/>
      <c r="C105" s="392" t="s">
        <v>19</v>
      </c>
      <c r="D105" s="286">
        <v>4345</v>
      </c>
      <c r="E105" s="389">
        <v>0</v>
      </c>
      <c r="F105" s="390">
        <f t="shared" si="2"/>
        <v>-4345</v>
      </c>
      <c r="G105" s="333">
        <f t="shared" si="3"/>
        <v>-100</v>
      </c>
      <c r="H105" s="412" t="s">
        <v>241</v>
      </c>
      <c r="I105" s="391"/>
      <c r="J105" s="391"/>
      <c r="K105" s="287">
        <v>0</v>
      </c>
    </row>
  </sheetData>
  <mergeCells count="33">
    <mergeCell ref="B97:C97"/>
    <mergeCell ref="B99:C99"/>
    <mergeCell ref="B102:C102"/>
    <mergeCell ref="A85:C85"/>
    <mergeCell ref="B86:C86"/>
    <mergeCell ref="A83:A84"/>
    <mergeCell ref="B83:B84"/>
    <mergeCell ref="C83:C84"/>
    <mergeCell ref="D83:D84"/>
    <mergeCell ref="D42:D43"/>
    <mergeCell ref="E83:E84"/>
    <mergeCell ref="F83:G83"/>
    <mergeCell ref="H83:K84"/>
    <mergeCell ref="F3:G3"/>
    <mergeCell ref="A81:K81"/>
    <mergeCell ref="A82:K82"/>
    <mergeCell ref="B59:C59"/>
    <mergeCell ref="E42:E43"/>
    <mergeCell ref="F42:G42"/>
    <mergeCell ref="H42:K43"/>
    <mergeCell ref="A42:A43"/>
    <mergeCell ref="B42:B43"/>
    <mergeCell ref="C42:C43"/>
    <mergeCell ref="H3:K4"/>
    <mergeCell ref="A5:C5"/>
    <mergeCell ref="B6:C6"/>
    <mergeCell ref="A1:K1"/>
    <mergeCell ref="A2:K2"/>
    <mergeCell ref="A3:A4"/>
    <mergeCell ref="B3:B4"/>
    <mergeCell ref="C3:C4"/>
    <mergeCell ref="D3:D4"/>
    <mergeCell ref="E3:E4"/>
  </mergeCells>
  <printOptions/>
  <pageMargins left="0.15748031496062992" right="0.1968503937007874" top="0.5905511811023623" bottom="0.3937007874015748" header="0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:K1"/>
    </sheetView>
  </sheetViews>
  <sheetFormatPr defaultColWidth="8.88671875" defaultRowHeight="13.5"/>
  <cols>
    <col min="2" max="2" width="13.4453125" style="0" customWidth="1"/>
    <col min="3" max="3" width="17.21484375" style="0" customWidth="1"/>
    <col min="4" max="7" width="8.99609375" style="0" bestFit="1" customWidth="1"/>
    <col min="8" max="8" width="15.4453125" style="0" customWidth="1"/>
    <col min="9" max="9" width="11.99609375" style="0" customWidth="1"/>
    <col min="10" max="10" width="11.21484375" style="0" customWidth="1"/>
    <col min="11" max="11" width="11.10546875" style="0" customWidth="1"/>
  </cols>
  <sheetData>
    <row r="1" spans="1:11" ht="17.25" customHeight="1">
      <c r="A1" s="556" t="s">
        <v>250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ht="16.5" customHeight="1" thickBot="1">
      <c r="A2" s="557" t="s">
        <v>35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</row>
    <row r="3" spans="1:11" ht="12.75" customHeight="1">
      <c r="A3" s="578" t="s">
        <v>5</v>
      </c>
      <c r="B3" s="580" t="s">
        <v>6</v>
      </c>
      <c r="C3" s="580" t="s">
        <v>7</v>
      </c>
      <c r="D3" s="580" t="s">
        <v>37</v>
      </c>
      <c r="E3" s="580" t="s">
        <v>36</v>
      </c>
      <c r="F3" s="582" t="s">
        <v>38</v>
      </c>
      <c r="G3" s="583"/>
      <c r="H3" s="584" t="s">
        <v>39</v>
      </c>
      <c r="I3" s="585"/>
      <c r="J3" s="585"/>
      <c r="K3" s="586"/>
    </row>
    <row r="4" spans="1:11" ht="12.75" customHeight="1" thickBot="1">
      <c r="A4" s="579"/>
      <c r="B4" s="581"/>
      <c r="C4" s="581"/>
      <c r="D4" s="581"/>
      <c r="E4" s="581"/>
      <c r="F4" s="132" t="s">
        <v>9</v>
      </c>
      <c r="G4" s="133" t="s">
        <v>40</v>
      </c>
      <c r="H4" s="587"/>
      <c r="I4" s="588"/>
      <c r="J4" s="588"/>
      <c r="K4" s="589"/>
    </row>
    <row r="5" spans="1:11" ht="20.25" customHeight="1" thickBot="1" thickTop="1">
      <c r="A5" s="590" t="s">
        <v>340</v>
      </c>
      <c r="B5" s="591"/>
      <c r="C5" s="592"/>
      <c r="D5" s="376">
        <f>SUM(D6+D56+D60)</f>
        <v>54654</v>
      </c>
      <c r="E5" s="376">
        <f>SUM(E6+E56+E60+E76)</f>
        <v>57736</v>
      </c>
      <c r="F5" s="394">
        <f>E5-D5</f>
        <v>3082</v>
      </c>
      <c r="G5" s="134">
        <f>F5*100/D5</f>
        <v>5.6391115014454565</v>
      </c>
      <c r="H5" s="135"/>
      <c r="I5" s="395"/>
      <c r="J5" s="395"/>
      <c r="K5" s="379">
        <f>SUM(K6+K56+K60+K76)</f>
        <v>57735577.72666667</v>
      </c>
    </row>
    <row r="6" spans="1:11" ht="16.5" customHeight="1">
      <c r="A6" s="396" t="s">
        <v>41</v>
      </c>
      <c r="B6" s="593" t="s">
        <v>11</v>
      </c>
      <c r="C6" s="594"/>
      <c r="D6" s="137">
        <f>SUM(D7+D43)</f>
        <v>46107</v>
      </c>
      <c r="E6" s="137">
        <f>SUM(E7+E43)</f>
        <v>47073</v>
      </c>
      <c r="F6" s="138">
        <f>E6-D6</f>
        <v>966</v>
      </c>
      <c r="G6" s="139">
        <f>F6*100/D6</f>
        <v>2.0951265534517534</v>
      </c>
      <c r="H6" s="397" t="s">
        <v>494</v>
      </c>
      <c r="I6" s="141"/>
      <c r="J6" s="141"/>
      <c r="K6" s="142">
        <f>SUM(K7+K43)</f>
        <v>47072741.72666667</v>
      </c>
    </row>
    <row r="7" spans="1:11" ht="15" customHeight="1">
      <c r="A7" s="150"/>
      <c r="B7" s="470" t="s">
        <v>838</v>
      </c>
      <c r="C7" s="144" t="s">
        <v>13</v>
      </c>
      <c r="D7" s="203">
        <f>SUM(D8+D13+D17+D20+D23+D24+D31+D32+D37+D40)</f>
        <v>38011</v>
      </c>
      <c r="E7" s="203">
        <f>SUM(E8+E13+E17+E20+E23+E24+E31+E32+E37+E40)</f>
        <v>37693</v>
      </c>
      <c r="F7" s="204">
        <f>E7-D7</f>
        <v>-318</v>
      </c>
      <c r="G7" s="146">
        <f>F7*100/D7</f>
        <v>-0.8365999315987477</v>
      </c>
      <c r="H7" s="398" t="s">
        <v>211</v>
      </c>
      <c r="I7" s="148"/>
      <c r="J7" s="148"/>
      <c r="K7" s="149">
        <f>SUM(K8+K13+K17+K20+K23+K24+K31+K32+K37+K40)</f>
        <v>37693141.72666667</v>
      </c>
    </row>
    <row r="8" spans="1:11" ht="12.75" customHeight="1">
      <c r="A8" s="150"/>
      <c r="B8" s="151"/>
      <c r="C8" s="152" t="s">
        <v>65</v>
      </c>
      <c r="D8" s="153">
        <v>17262</v>
      </c>
      <c r="E8" s="154">
        <v>17904</v>
      </c>
      <c r="F8" s="155">
        <f>E8-D8</f>
        <v>642</v>
      </c>
      <c r="G8" s="156">
        <f>F8*100/D8</f>
        <v>3.719151894334376</v>
      </c>
      <c r="H8" s="166" t="s">
        <v>42</v>
      </c>
      <c r="I8" s="157"/>
      <c r="J8" s="157"/>
      <c r="K8" s="158">
        <f>SUM(K9:K12)</f>
        <v>17904000</v>
      </c>
    </row>
    <row r="9" spans="1:11" ht="12" customHeight="1">
      <c r="A9" s="150"/>
      <c r="B9" s="151"/>
      <c r="C9" s="159"/>
      <c r="D9" s="160"/>
      <c r="E9" s="160"/>
      <c r="F9" s="160"/>
      <c r="G9" s="160"/>
      <c r="H9" s="425" t="s">
        <v>555</v>
      </c>
      <c r="I9" s="426">
        <v>697000</v>
      </c>
      <c r="J9" s="426" t="s">
        <v>49</v>
      </c>
      <c r="K9" s="427">
        <f>SUM(I9*12)</f>
        <v>8364000</v>
      </c>
    </row>
    <row r="10" spans="1:11" ht="12" customHeight="1">
      <c r="A10" s="150"/>
      <c r="B10" s="151"/>
      <c r="C10" s="159"/>
      <c r="D10" s="160"/>
      <c r="E10" s="160"/>
      <c r="F10" s="160"/>
      <c r="G10" s="160"/>
      <c r="H10" s="408" t="s">
        <v>644</v>
      </c>
      <c r="I10" s="173">
        <v>660000</v>
      </c>
      <c r="J10" s="173" t="s">
        <v>645</v>
      </c>
      <c r="K10" s="176">
        <f>SUM(I10*9)</f>
        <v>5940000</v>
      </c>
    </row>
    <row r="11" spans="1:11" ht="12" customHeight="1">
      <c r="A11" s="150"/>
      <c r="B11" s="151"/>
      <c r="C11" s="159"/>
      <c r="D11" s="160"/>
      <c r="E11" s="160"/>
      <c r="F11" s="160"/>
      <c r="G11" s="160"/>
      <c r="H11" s="423" t="s">
        <v>646</v>
      </c>
      <c r="I11" s="173">
        <v>600000</v>
      </c>
      <c r="J11" s="173" t="s">
        <v>648</v>
      </c>
      <c r="K11" s="176">
        <f>SUM(I11*3)</f>
        <v>1800000</v>
      </c>
    </row>
    <row r="12" spans="1:11" ht="12" customHeight="1">
      <c r="A12" s="150"/>
      <c r="B12" s="151"/>
      <c r="C12" s="161"/>
      <c r="D12" s="162"/>
      <c r="E12" s="162"/>
      <c r="F12" s="160"/>
      <c r="G12" s="160"/>
      <c r="H12" s="363" t="s">
        <v>647</v>
      </c>
      <c r="I12" s="179">
        <v>600000</v>
      </c>
      <c r="J12" s="173" t="s">
        <v>648</v>
      </c>
      <c r="K12" s="176">
        <f>SUM(I12*3)</f>
        <v>1800000</v>
      </c>
    </row>
    <row r="13" spans="1:11" ht="12" customHeight="1">
      <c r="A13" s="150"/>
      <c r="B13" s="182"/>
      <c r="C13" s="152" t="s">
        <v>57</v>
      </c>
      <c r="D13" s="153">
        <v>7375</v>
      </c>
      <c r="E13" s="214">
        <v>6264</v>
      </c>
      <c r="F13" s="165">
        <f>E13-D13</f>
        <v>-1111</v>
      </c>
      <c r="G13" s="156">
        <f>F13*100/D13</f>
        <v>-15.064406779661017</v>
      </c>
      <c r="H13" s="166" t="s">
        <v>43</v>
      </c>
      <c r="I13" s="157"/>
      <c r="J13" s="157"/>
      <c r="K13" s="158">
        <f>SUM(K14+K15+K16)</f>
        <v>2384000</v>
      </c>
    </row>
    <row r="14" spans="1:11" ht="12" customHeight="1">
      <c r="A14" s="150"/>
      <c r="B14" s="182"/>
      <c r="C14" s="159"/>
      <c r="D14" s="167"/>
      <c r="E14" s="167"/>
      <c r="F14" s="168"/>
      <c r="G14" s="168"/>
      <c r="H14" s="425" t="s">
        <v>555</v>
      </c>
      <c r="I14" s="426">
        <v>697000</v>
      </c>
      <c r="J14" s="426" t="s">
        <v>649</v>
      </c>
      <c r="K14" s="427">
        <f>SUM(I14*50%*4)</f>
        <v>1394000</v>
      </c>
    </row>
    <row r="15" spans="1:11" ht="12" customHeight="1">
      <c r="A15" s="150"/>
      <c r="B15" s="182"/>
      <c r="C15" s="159"/>
      <c r="D15" s="167"/>
      <c r="E15" s="167"/>
      <c r="F15" s="168"/>
      <c r="G15" s="168"/>
      <c r="H15" s="408" t="s">
        <v>644</v>
      </c>
      <c r="I15" s="173">
        <v>660000</v>
      </c>
      <c r="J15" s="173" t="s">
        <v>650</v>
      </c>
      <c r="K15" s="176">
        <f>SUM(I15*50%*3)</f>
        <v>990000</v>
      </c>
    </row>
    <row r="16" spans="1:11" ht="12" customHeight="1">
      <c r="A16" s="150"/>
      <c r="B16" s="182"/>
      <c r="C16" s="159"/>
      <c r="D16" s="167"/>
      <c r="E16" s="167"/>
      <c r="F16" s="168"/>
      <c r="G16" s="168"/>
      <c r="H16" s="197"/>
      <c r="I16" s="179"/>
      <c r="J16" s="179"/>
      <c r="K16" s="180"/>
    </row>
    <row r="17" spans="1:11" ht="12" customHeight="1">
      <c r="A17" s="150"/>
      <c r="B17" s="182"/>
      <c r="C17" s="159"/>
      <c r="D17" s="167"/>
      <c r="E17" s="167"/>
      <c r="F17" s="168"/>
      <c r="G17" s="168"/>
      <c r="H17" s="166" t="s">
        <v>531</v>
      </c>
      <c r="I17" s="157"/>
      <c r="J17" s="157"/>
      <c r="K17" s="158">
        <f>SUM(K18+K19)</f>
        <v>2714000</v>
      </c>
    </row>
    <row r="18" spans="1:11" ht="12" customHeight="1">
      <c r="A18" s="150"/>
      <c r="B18" s="182"/>
      <c r="C18" s="159"/>
      <c r="D18" s="167"/>
      <c r="E18" s="167"/>
      <c r="F18" s="168"/>
      <c r="G18" s="168"/>
      <c r="H18" s="425" t="s">
        <v>555</v>
      </c>
      <c r="I18" s="426">
        <v>697000</v>
      </c>
      <c r="J18" s="426" t="s">
        <v>649</v>
      </c>
      <c r="K18" s="427">
        <f>SUM(I18*50%*4)</f>
        <v>1394000</v>
      </c>
    </row>
    <row r="19" spans="1:11" ht="12" customHeight="1">
      <c r="A19" s="150"/>
      <c r="B19" s="182"/>
      <c r="C19" s="159"/>
      <c r="D19" s="167"/>
      <c r="E19" s="167"/>
      <c r="F19" s="168"/>
      <c r="G19" s="168"/>
      <c r="H19" s="197" t="s">
        <v>644</v>
      </c>
      <c r="I19" s="179">
        <v>660000</v>
      </c>
      <c r="J19" s="179" t="s">
        <v>649</v>
      </c>
      <c r="K19" s="180">
        <f>SUM(I19*50%*4)</f>
        <v>1320000</v>
      </c>
    </row>
    <row r="20" spans="1:11" ht="12" customHeight="1">
      <c r="A20" s="172"/>
      <c r="B20" s="213"/>
      <c r="C20" s="163"/>
      <c r="D20" s="160"/>
      <c r="E20" s="189"/>
      <c r="F20" s="174"/>
      <c r="G20" s="175"/>
      <c r="H20" s="197" t="s">
        <v>387</v>
      </c>
      <c r="I20" s="179"/>
      <c r="J20" s="173"/>
      <c r="K20" s="180">
        <f>SUM(K21+K22)</f>
        <v>1166400</v>
      </c>
    </row>
    <row r="21" spans="1:11" ht="12" customHeight="1">
      <c r="A21" s="150"/>
      <c r="B21" s="182"/>
      <c r="C21" s="159"/>
      <c r="D21" s="160"/>
      <c r="E21" s="160"/>
      <c r="F21" s="160"/>
      <c r="G21" s="160"/>
      <c r="H21" s="425" t="s">
        <v>555</v>
      </c>
      <c r="I21" s="426">
        <v>697000</v>
      </c>
      <c r="J21" s="426" t="s">
        <v>651</v>
      </c>
      <c r="K21" s="427">
        <f>SUM(I21*60%*2)</f>
        <v>836400</v>
      </c>
    </row>
    <row r="22" spans="1:11" ht="12" customHeight="1">
      <c r="A22" s="150"/>
      <c r="B22" s="182"/>
      <c r="C22" s="177"/>
      <c r="D22" s="162"/>
      <c r="E22" s="162"/>
      <c r="F22" s="200"/>
      <c r="G22" s="139"/>
      <c r="H22" s="197" t="s">
        <v>644</v>
      </c>
      <c r="I22" s="179">
        <v>660000</v>
      </c>
      <c r="J22" s="173" t="s">
        <v>652</v>
      </c>
      <c r="K22" s="180">
        <f>SUM(I22*50%)</f>
        <v>330000</v>
      </c>
    </row>
    <row r="23" spans="1:11" ht="12" customHeight="1">
      <c r="A23" s="150"/>
      <c r="B23" s="182"/>
      <c r="C23" s="177" t="s">
        <v>24</v>
      </c>
      <c r="D23" s="162">
        <v>0</v>
      </c>
      <c r="E23" s="162">
        <v>0</v>
      </c>
      <c r="F23" s="200">
        <v>0</v>
      </c>
      <c r="G23" s="139">
        <v>0</v>
      </c>
      <c r="H23" s="166"/>
      <c r="I23" s="157"/>
      <c r="J23" s="157"/>
      <c r="K23" s="158">
        <f>SUM(I23*12)</f>
        <v>0</v>
      </c>
    </row>
    <row r="24" spans="1:11" ht="12" customHeight="1">
      <c r="A24" s="150"/>
      <c r="B24" s="151"/>
      <c r="C24" s="163" t="s">
        <v>58</v>
      </c>
      <c r="D24" s="160">
        <v>3118</v>
      </c>
      <c r="E24" s="154">
        <v>2857</v>
      </c>
      <c r="F24" s="174">
        <f>E24-D24</f>
        <v>-261</v>
      </c>
      <c r="G24" s="175">
        <f>F24*100/D24</f>
        <v>-8.370750481077614</v>
      </c>
      <c r="H24" s="197" t="s">
        <v>47</v>
      </c>
      <c r="I24" s="179"/>
      <c r="J24" s="173"/>
      <c r="K24" s="180">
        <f>SUM(K25+K26+K27+K28+K29+K30)</f>
        <v>2857000</v>
      </c>
    </row>
    <row r="25" spans="1:11" ht="12" customHeight="1">
      <c r="A25" s="150"/>
      <c r="B25" s="151"/>
      <c r="C25" s="159"/>
      <c r="D25" s="160"/>
      <c r="E25" s="160"/>
      <c r="F25" s="160"/>
      <c r="G25" s="160"/>
      <c r="H25" s="425" t="s">
        <v>653</v>
      </c>
      <c r="I25" s="426">
        <v>30000</v>
      </c>
      <c r="J25" s="426" t="s">
        <v>49</v>
      </c>
      <c r="K25" s="427">
        <f>SUM(I25*12)</f>
        <v>360000</v>
      </c>
    </row>
    <row r="26" spans="1:11" ht="12" customHeight="1">
      <c r="A26" s="150"/>
      <c r="B26" s="151"/>
      <c r="C26" s="159"/>
      <c r="D26" s="160"/>
      <c r="E26" s="160"/>
      <c r="F26" s="160"/>
      <c r="G26" s="160"/>
      <c r="H26" s="408" t="s">
        <v>654</v>
      </c>
      <c r="I26" s="173">
        <v>30000</v>
      </c>
      <c r="J26" s="173" t="s">
        <v>645</v>
      </c>
      <c r="K26" s="176">
        <f>SUM(I26*9)</f>
        <v>270000</v>
      </c>
    </row>
    <row r="27" spans="1:11" ht="12" customHeight="1">
      <c r="A27" s="150"/>
      <c r="B27" s="151"/>
      <c r="C27" s="159"/>
      <c r="D27" s="160"/>
      <c r="E27" s="160"/>
      <c r="F27" s="160"/>
      <c r="G27" s="160"/>
      <c r="H27" s="408" t="s">
        <v>655</v>
      </c>
      <c r="I27" s="173">
        <v>697000</v>
      </c>
      <c r="J27" s="173" t="s">
        <v>652</v>
      </c>
      <c r="K27" s="176">
        <f>SUM(I27*50%*2)</f>
        <v>697000</v>
      </c>
    </row>
    <row r="28" spans="1:11" ht="12" customHeight="1">
      <c r="A28" s="150"/>
      <c r="B28" s="151"/>
      <c r="C28" s="159"/>
      <c r="D28" s="160"/>
      <c r="E28" s="160"/>
      <c r="F28" s="160"/>
      <c r="G28" s="160"/>
      <c r="H28" s="408" t="s">
        <v>656</v>
      </c>
      <c r="I28" s="173">
        <v>660000</v>
      </c>
      <c r="J28" s="173" t="s">
        <v>50</v>
      </c>
      <c r="K28" s="176">
        <f>SUM(I28*50%)</f>
        <v>330000</v>
      </c>
    </row>
    <row r="29" spans="1:11" ht="12" customHeight="1">
      <c r="A29" s="150"/>
      <c r="B29" s="151"/>
      <c r="C29" s="159"/>
      <c r="D29" s="160"/>
      <c r="E29" s="160"/>
      <c r="F29" s="160"/>
      <c r="G29" s="160"/>
      <c r="H29" s="408" t="s">
        <v>657</v>
      </c>
      <c r="I29" s="173">
        <v>50000</v>
      </c>
      <c r="J29" s="173" t="s">
        <v>49</v>
      </c>
      <c r="K29" s="176">
        <f>SUM(I29*12)</f>
        <v>600000</v>
      </c>
    </row>
    <row r="30" spans="1:11" ht="12" customHeight="1">
      <c r="A30" s="150"/>
      <c r="B30" s="151"/>
      <c r="C30" s="159"/>
      <c r="D30" s="160"/>
      <c r="E30" s="160"/>
      <c r="F30" s="160"/>
      <c r="G30" s="160"/>
      <c r="H30" s="197" t="s">
        <v>658</v>
      </c>
      <c r="I30" s="179">
        <v>50000</v>
      </c>
      <c r="J30" s="179" t="s">
        <v>49</v>
      </c>
      <c r="K30" s="180">
        <f>SUM(I30*12)</f>
        <v>600000</v>
      </c>
    </row>
    <row r="31" spans="1:11" ht="12" customHeight="1">
      <c r="A31" s="150"/>
      <c r="B31" s="151"/>
      <c r="C31" s="194" t="s">
        <v>499</v>
      </c>
      <c r="D31" s="195">
        <v>2693</v>
      </c>
      <c r="E31" s="195">
        <v>2660</v>
      </c>
      <c r="F31" s="145">
        <f>E31-D31</f>
        <v>-33</v>
      </c>
      <c r="G31" s="146">
        <f>F31*100/D31</f>
        <v>-1.2253991830672113</v>
      </c>
      <c r="H31" s="408" t="s">
        <v>61</v>
      </c>
      <c r="I31" s="173">
        <v>31915400</v>
      </c>
      <c r="J31" s="173" t="s">
        <v>59</v>
      </c>
      <c r="K31" s="176">
        <f>SUM(I31*1/12)</f>
        <v>2659616.6666666665</v>
      </c>
    </row>
    <row r="32" spans="1:11" ht="12" customHeight="1">
      <c r="A32" s="150"/>
      <c r="B32" s="151"/>
      <c r="C32" s="163" t="s">
        <v>68</v>
      </c>
      <c r="D32" s="160">
        <v>2303</v>
      </c>
      <c r="E32" s="160">
        <v>2518</v>
      </c>
      <c r="F32" s="174">
        <f>E32-D32</f>
        <v>215</v>
      </c>
      <c r="G32" s="175">
        <f>F32*100/D32</f>
        <v>9.335649153278332</v>
      </c>
      <c r="H32" s="166" t="s">
        <v>62</v>
      </c>
      <c r="I32" s="157"/>
      <c r="J32" s="157"/>
      <c r="K32" s="158">
        <f>SUM(K33+K34+K35+K36)</f>
        <v>2518125.0599999996</v>
      </c>
    </row>
    <row r="33" spans="1:11" ht="12" customHeight="1">
      <c r="A33" s="150"/>
      <c r="B33" s="151"/>
      <c r="C33" s="163"/>
      <c r="D33" s="160"/>
      <c r="E33" s="160"/>
      <c r="F33" s="181"/>
      <c r="G33" s="181"/>
      <c r="H33" s="425" t="s">
        <v>60</v>
      </c>
      <c r="I33" s="426">
        <v>31915400</v>
      </c>
      <c r="J33" s="426" t="s">
        <v>660</v>
      </c>
      <c r="K33" s="427">
        <f>SUM(I33*2.24%)</f>
        <v>714904.9600000001</v>
      </c>
    </row>
    <row r="34" spans="1:11" ht="12" customHeight="1">
      <c r="A34" s="150"/>
      <c r="B34" s="151"/>
      <c r="C34" s="163"/>
      <c r="D34" s="160"/>
      <c r="E34" s="160"/>
      <c r="F34" s="181"/>
      <c r="G34" s="181"/>
      <c r="H34" s="408" t="s">
        <v>393</v>
      </c>
      <c r="I34" s="173">
        <v>31915400</v>
      </c>
      <c r="J34" s="173" t="s">
        <v>217</v>
      </c>
      <c r="K34" s="176">
        <f>SUM(I34*4.5%)</f>
        <v>1436193</v>
      </c>
    </row>
    <row r="35" spans="1:11" ht="12" customHeight="1">
      <c r="A35" s="150"/>
      <c r="B35" s="151"/>
      <c r="C35" s="163"/>
      <c r="D35" s="160"/>
      <c r="E35" s="160"/>
      <c r="F35" s="181"/>
      <c r="G35" s="181"/>
      <c r="H35" s="408" t="s">
        <v>394</v>
      </c>
      <c r="I35" s="173">
        <v>31915400</v>
      </c>
      <c r="J35" s="173" t="s">
        <v>532</v>
      </c>
      <c r="K35" s="176">
        <f>SUM(I35*0.7%)</f>
        <v>223407.8</v>
      </c>
    </row>
    <row r="36" spans="1:11" ht="12" customHeight="1">
      <c r="A36" s="150"/>
      <c r="B36" s="151"/>
      <c r="C36" s="177"/>
      <c r="D36" s="162"/>
      <c r="E36" s="162"/>
      <c r="F36" s="178"/>
      <c r="G36" s="178"/>
      <c r="H36" s="197" t="s">
        <v>213</v>
      </c>
      <c r="I36" s="179">
        <v>31915400</v>
      </c>
      <c r="J36" s="179" t="s">
        <v>664</v>
      </c>
      <c r="K36" s="180">
        <f>SUM(I36*0.45%)</f>
        <v>143619.30000000002</v>
      </c>
    </row>
    <row r="37" spans="1:11" ht="12" customHeight="1">
      <c r="A37" s="150"/>
      <c r="B37" s="151"/>
      <c r="C37" s="163" t="s">
        <v>69</v>
      </c>
      <c r="D37" s="160">
        <v>2160</v>
      </c>
      <c r="E37" s="160">
        <v>1890</v>
      </c>
      <c r="F37" s="174">
        <f>E37-D37</f>
        <v>-270</v>
      </c>
      <c r="G37" s="175">
        <f>F37*100/D37</f>
        <v>-12.5</v>
      </c>
      <c r="H37" s="166" t="s">
        <v>395</v>
      </c>
      <c r="I37" s="157"/>
      <c r="J37" s="157"/>
      <c r="K37" s="158">
        <f>SUM(K38+K39)</f>
        <v>1890000</v>
      </c>
    </row>
    <row r="38" spans="1:11" ht="12" customHeight="1">
      <c r="A38" s="150"/>
      <c r="B38" s="151"/>
      <c r="C38" s="163"/>
      <c r="D38" s="160"/>
      <c r="E38" s="160"/>
      <c r="F38" s="181"/>
      <c r="G38" s="181"/>
      <c r="H38" s="425" t="s">
        <v>533</v>
      </c>
      <c r="I38" s="426">
        <v>90000</v>
      </c>
      <c r="J38" s="426" t="s">
        <v>56</v>
      </c>
      <c r="K38" s="427">
        <f>SUM(I38*1*12)</f>
        <v>1080000</v>
      </c>
    </row>
    <row r="39" spans="1:11" ht="12" customHeight="1">
      <c r="A39" s="150"/>
      <c r="B39" s="151"/>
      <c r="C39" s="177"/>
      <c r="D39" s="162"/>
      <c r="E39" s="162"/>
      <c r="F39" s="178"/>
      <c r="G39" s="178"/>
      <c r="H39" s="197" t="s">
        <v>534</v>
      </c>
      <c r="I39" s="179">
        <v>90000</v>
      </c>
      <c r="J39" s="179" t="s">
        <v>659</v>
      </c>
      <c r="K39" s="180">
        <f>SUM(I39*1*9)</f>
        <v>810000</v>
      </c>
    </row>
    <row r="40" spans="1:11" ht="15.75" customHeight="1" thickBot="1">
      <c r="A40" s="169"/>
      <c r="B40" s="170"/>
      <c r="C40" s="183" t="s">
        <v>70</v>
      </c>
      <c r="D40" s="184">
        <v>3100</v>
      </c>
      <c r="E40" s="184">
        <v>3600</v>
      </c>
      <c r="F40" s="185">
        <f>E40-D40</f>
        <v>500</v>
      </c>
      <c r="G40" s="186">
        <f>F40*100/D40</f>
        <v>16.129032258064516</v>
      </c>
      <c r="H40" s="409" t="s">
        <v>63</v>
      </c>
      <c r="I40" s="187">
        <v>100000</v>
      </c>
      <c r="J40" s="187" t="s">
        <v>661</v>
      </c>
      <c r="K40" s="191">
        <f>SUM(I40*3*12)</f>
        <v>3600000</v>
      </c>
    </row>
    <row r="41" spans="1:11" ht="13.5" customHeight="1">
      <c r="A41" s="578" t="s">
        <v>5</v>
      </c>
      <c r="B41" s="595" t="s">
        <v>6</v>
      </c>
      <c r="C41" s="580" t="s">
        <v>7</v>
      </c>
      <c r="D41" s="580" t="s">
        <v>37</v>
      </c>
      <c r="E41" s="580" t="s">
        <v>36</v>
      </c>
      <c r="F41" s="582" t="s">
        <v>38</v>
      </c>
      <c r="G41" s="583"/>
      <c r="H41" s="584" t="s">
        <v>39</v>
      </c>
      <c r="I41" s="585"/>
      <c r="J41" s="585"/>
      <c r="K41" s="586"/>
    </row>
    <row r="42" spans="1:11" ht="13.5" customHeight="1" thickBot="1">
      <c r="A42" s="579"/>
      <c r="B42" s="596"/>
      <c r="C42" s="581"/>
      <c r="D42" s="581"/>
      <c r="E42" s="581"/>
      <c r="F42" s="171" t="s">
        <v>9</v>
      </c>
      <c r="G42" s="133" t="s">
        <v>40</v>
      </c>
      <c r="H42" s="587"/>
      <c r="I42" s="588"/>
      <c r="J42" s="588"/>
      <c r="K42" s="589"/>
    </row>
    <row r="43" spans="1:11" ht="20.25" customHeight="1" thickTop="1">
      <c r="A43" s="221" t="s">
        <v>41</v>
      </c>
      <c r="B43" s="469" t="s">
        <v>535</v>
      </c>
      <c r="C43" s="144" t="s">
        <v>13</v>
      </c>
      <c r="D43" s="246">
        <f>SUM(D44+D45+D46+D50+D55)</f>
        <v>8096</v>
      </c>
      <c r="E43" s="415">
        <f>SUM(E44:E55)</f>
        <v>9380</v>
      </c>
      <c r="F43" s="315">
        <f>E43-D43</f>
        <v>1284</v>
      </c>
      <c r="G43" s="248">
        <f>F43*100/D43</f>
        <v>15.859683794466402</v>
      </c>
      <c r="H43" s="249"/>
      <c r="I43" s="250"/>
      <c r="J43" s="250"/>
      <c r="K43" s="149">
        <f>SUM(K44:K55)</f>
        <v>9379600</v>
      </c>
    </row>
    <row r="44" spans="1:11" ht="13.5" customHeight="1">
      <c r="A44" s="109"/>
      <c r="B44" s="188"/>
      <c r="C44" s="194" t="s">
        <v>16</v>
      </c>
      <c r="D44" s="195">
        <v>200</v>
      </c>
      <c r="E44" s="195">
        <v>200</v>
      </c>
      <c r="F44" s="145">
        <f>E44-D44</f>
        <v>0</v>
      </c>
      <c r="G44" s="146">
        <v>0</v>
      </c>
      <c r="H44" s="166" t="s">
        <v>91</v>
      </c>
      <c r="I44" s="157">
        <v>20000</v>
      </c>
      <c r="J44" s="157" t="s">
        <v>94</v>
      </c>
      <c r="K44" s="158">
        <f>SUM(I44*10)</f>
        <v>200000</v>
      </c>
    </row>
    <row r="45" spans="1:11" ht="13.5" customHeight="1">
      <c r="A45" s="109"/>
      <c r="B45" s="188"/>
      <c r="C45" s="194" t="s">
        <v>25</v>
      </c>
      <c r="D45" s="195">
        <v>816</v>
      </c>
      <c r="E45" s="195">
        <v>1200</v>
      </c>
      <c r="F45" s="145">
        <f>E45-D45</f>
        <v>384</v>
      </c>
      <c r="G45" s="156">
        <f>F45*100/D45</f>
        <v>47.05882352941177</v>
      </c>
      <c r="H45" s="263" t="s">
        <v>402</v>
      </c>
      <c r="I45" s="157">
        <v>100000</v>
      </c>
      <c r="J45" s="157" t="s">
        <v>49</v>
      </c>
      <c r="K45" s="158">
        <f>SUM(I45*12)</f>
        <v>1200000</v>
      </c>
    </row>
    <row r="46" spans="1:11" ht="13.5" customHeight="1">
      <c r="A46" s="109"/>
      <c r="B46" s="188"/>
      <c r="C46" s="163" t="s">
        <v>18</v>
      </c>
      <c r="D46" s="160">
        <v>2720</v>
      </c>
      <c r="E46" s="164">
        <v>3620</v>
      </c>
      <c r="F46" s="174">
        <f>E46-D46</f>
        <v>900</v>
      </c>
      <c r="G46" s="156">
        <f>F46*100/D46</f>
        <v>33.088235294117645</v>
      </c>
      <c r="H46" s="374" t="s">
        <v>536</v>
      </c>
      <c r="I46" s="426">
        <v>6600</v>
      </c>
      <c r="J46" s="426" t="s">
        <v>537</v>
      </c>
      <c r="K46" s="427">
        <f>SUM(I46*12)</f>
        <v>79200</v>
      </c>
    </row>
    <row r="47" spans="1:11" ht="13.5" customHeight="1">
      <c r="A47" s="109"/>
      <c r="B47" s="188"/>
      <c r="C47" s="163"/>
      <c r="D47" s="160"/>
      <c r="E47" s="160"/>
      <c r="F47" s="181"/>
      <c r="G47" s="181"/>
      <c r="H47" s="366" t="s">
        <v>99</v>
      </c>
      <c r="I47" s="173">
        <v>250000</v>
      </c>
      <c r="J47" s="173" t="s">
        <v>538</v>
      </c>
      <c r="K47" s="176">
        <f>SUM(I47*6)</f>
        <v>1500000</v>
      </c>
    </row>
    <row r="48" spans="1:11" ht="13.5" customHeight="1">
      <c r="A48" s="109"/>
      <c r="B48" s="188"/>
      <c r="C48" s="163"/>
      <c r="D48" s="160"/>
      <c r="E48" s="160"/>
      <c r="F48" s="181"/>
      <c r="G48" s="181"/>
      <c r="H48" s="408" t="s">
        <v>98</v>
      </c>
      <c r="I48" s="173">
        <v>20000</v>
      </c>
      <c r="J48" s="173" t="s">
        <v>49</v>
      </c>
      <c r="K48" s="176">
        <f>SUM(I48*12)</f>
        <v>240000</v>
      </c>
    </row>
    <row r="49" spans="1:11" ht="13.5" customHeight="1">
      <c r="A49" s="109"/>
      <c r="B49" s="188"/>
      <c r="C49" s="177"/>
      <c r="D49" s="162"/>
      <c r="E49" s="162"/>
      <c r="F49" s="181"/>
      <c r="G49" s="181"/>
      <c r="H49" s="212" t="s">
        <v>97</v>
      </c>
      <c r="I49" s="179">
        <v>150000</v>
      </c>
      <c r="J49" s="179" t="s">
        <v>49</v>
      </c>
      <c r="K49" s="180">
        <f>SUM(I49*12)</f>
        <v>1800000</v>
      </c>
    </row>
    <row r="50" spans="1:11" ht="13.5" customHeight="1">
      <c r="A50" s="109"/>
      <c r="B50" s="188"/>
      <c r="C50" s="163" t="s">
        <v>20</v>
      </c>
      <c r="D50" s="160">
        <v>1740</v>
      </c>
      <c r="E50" s="164">
        <v>1740</v>
      </c>
      <c r="F50" s="165">
        <f>E50-D50</f>
        <v>0</v>
      </c>
      <c r="G50" s="156">
        <f>F50*100/D50</f>
        <v>0</v>
      </c>
      <c r="H50" s="425" t="s">
        <v>412</v>
      </c>
      <c r="I50" s="426">
        <v>62000</v>
      </c>
      <c r="J50" s="426" t="s">
        <v>403</v>
      </c>
      <c r="K50" s="427">
        <f>SUM(I50*2)</f>
        <v>124000</v>
      </c>
    </row>
    <row r="51" spans="1:11" ht="13.5" customHeight="1">
      <c r="A51" s="109"/>
      <c r="B51" s="188"/>
      <c r="C51" s="163"/>
      <c r="D51" s="160"/>
      <c r="E51" s="160"/>
      <c r="F51" s="181"/>
      <c r="G51" s="181"/>
      <c r="H51" s="408" t="s">
        <v>501</v>
      </c>
      <c r="I51" s="173">
        <v>530000</v>
      </c>
      <c r="J51" s="173" t="s">
        <v>539</v>
      </c>
      <c r="K51" s="176">
        <f>SUM(I51*1)</f>
        <v>530000</v>
      </c>
    </row>
    <row r="52" spans="1:11" ht="13.5" customHeight="1">
      <c r="A52" s="109"/>
      <c r="B52" s="188"/>
      <c r="C52" s="163"/>
      <c r="D52" s="160"/>
      <c r="E52" s="160"/>
      <c r="F52" s="181"/>
      <c r="G52" s="181"/>
      <c r="H52" s="408" t="s">
        <v>107</v>
      </c>
      <c r="I52" s="173">
        <v>45000</v>
      </c>
      <c r="J52" s="173" t="s">
        <v>403</v>
      </c>
      <c r="K52" s="176">
        <f>SUM(I52*2)</f>
        <v>90000</v>
      </c>
    </row>
    <row r="53" spans="1:11" ht="13.5" customHeight="1">
      <c r="A53" s="109"/>
      <c r="B53" s="188"/>
      <c r="C53" s="163"/>
      <c r="D53" s="160"/>
      <c r="E53" s="160"/>
      <c r="F53" s="181"/>
      <c r="G53" s="181"/>
      <c r="H53" s="408" t="s">
        <v>413</v>
      </c>
      <c r="I53" s="173">
        <v>49700</v>
      </c>
      <c r="J53" s="173" t="s">
        <v>159</v>
      </c>
      <c r="K53" s="176">
        <f>SUM(I53*12)</f>
        <v>596400</v>
      </c>
    </row>
    <row r="54" spans="1:11" ht="13.5" customHeight="1">
      <c r="A54" s="109"/>
      <c r="B54" s="188"/>
      <c r="C54" s="177"/>
      <c r="D54" s="162"/>
      <c r="E54" s="162"/>
      <c r="F54" s="178"/>
      <c r="G54" s="178"/>
      <c r="H54" s="198" t="s">
        <v>251</v>
      </c>
      <c r="I54" s="179">
        <v>100000</v>
      </c>
      <c r="J54" s="179" t="s">
        <v>96</v>
      </c>
      <c r="K54" s="180">
        <f>SUM(I54*4)</f>
        <v>400000</v>
      </c>
    </row>
    <row r="55" spans="1:11" ht="13.5" customHeight="1">
      <c r="A55" s="438"/>
      <c r="B55" s="439"/>
      <c r="C55" s="177" t="s">
        <v>266</v>
      </c>
      <c r="D55" s="162">
        <v>2620</v>
      </c>
      <c r="E55" s="195">
        <v>2620</v>
      </c>
      <c r="F55" s="145">
        <f>E55-D55</f>
        <v>0</v>
      </c>
      <c r="G55" s="146">
        <f>F55*100/D55</f>
        <v>0</v>
      </c>
      <c r="H55" s="263" t="s">
        <v>540</v>
      </c>
      <c r="I55" s="157">
        <v>262000</v>
      </c>
      <c r="J55" s="157" t="s">
        <v>94</v>
      </c>
      <c r="K55" s="180">
        <f>SUM(I55*10)</f>
        <v>2620000</v>
      </c>
    </row>
    <row r="56" spans="1:11" ht="15.75" customHeight="1">
      <c r="A56" s="396" t="s">
        <v>415</v>
      </c>
      <c r="B56" s="223" t="s">
        <v>26</v>
      </c>
      <c r="C56" s="196" t="s">
        <v>13</v>
      </c>
      <c r="D56" s="199">
        <f>SUM(D57+D58+D59)</f>
        <v>2367</v>
      </c>
      <c r="E56" s="199">
        <f>SUM(E57+E58+E59)</f>
        <v>1500</v>
      </c>
      <c r="F56" s="200">
        <f aca="true" t="shared" si="0" ref="F56:F65">E56-D56</f>
        <v>-867</v>
      </c>
      <c r="G56" s="139">
        <f>F56*100/D56</f>
        <v>-36.628643852978456</v>
      </c>
      <c r="H56" s="140"/>
      <c r="I56" s="201"/>
      <c r="J56" s="201"/>
      <c r="K56" s="180">
        <f>SUM(K57+K58+K59)</f>
        <v>1500000</v>
      </c>
    </row>
    <row r="57" spans="1:11" ht="13.5" customHeight="1">
      <c r="A57" s="396" t="s">
        <v>108</v>
      </c>
      <c r="B57" s="188"/>
      <c r="C57" s="194" t="s">
        <v>27</v>
      </c>
      <c r="D57" s="195">
        <v>817</v>
      </c>
      <c r="E57" s="195">
        <v>0</v>
      </c>
      <c r="F57" s="145">
        <f t="shared" si="0"/>
        <v>-817</v>
      </c>
      <c r="G57" s="146">
        <v>0</v>
      </c>
      <c r="H57" s="166"/>
      <c r="I57" s="157"/>
      <c r="J57" s="157"/>
      <c r="K57" s="158"/>
    </row>
    <row r="58" spans="1:11" ht="13.5" customHeight="1">
      <c r="A58" s="396"/>
      <c r="B58" s="188"/>
      <c r="C58" s="194" t="s">
        <v>28</v>
      </c>
      <c r="D58" s="195">
        <v>1550</v>
      </c>
      <c r="E58" s="195">
        <v>1500</v>
      </c>
      <c r="F58" s="145">
        <f t="shared" si="0"/>
        <v>-50</v>
      </c>
      <c r="G58" s="146">
        <v>0</v>
      </c>
      <c r="H58" s="166" t="s">
        <v>109</v>
      </c>
      <c r="I58" s="157"/>
      <c r="J58" s="157"/>
      <c r="K58" s="158">
        <v>1500000</v>
      </c>
    </row>
    <row r="59" spans="1:11" ht="13.5" customHeight="1">
      <c r="A59" s="441"/>
      <c r="B59" s="439"/>
      <c r="C59" s="177" t="s">
        <v>29</v>
      </c>
      <c r="D59" s="162">
        <v>0</v>
      </c>
      <c r="E59" s="162">
        <v>0</v>
      </c>
      <c r="F59" s="145">
        <f t="shared" si="0"/>
        <v>0</v>
      </c>
      <c r="G59" s="146">
        <v>0</v>
      </c>
      <c r="H59" s="166"/>
      <c r="I59" s="179"/>
      <c r="J59" s="179"/>
      <c r="K59" s="180"/>
    </row>
    <row r="60" spans="1:11" ht="17.25" customHeight="1">
      <c r="A60" s="440" t="s">
        <v>111</v>
      </c>
      <c r="B60" s="602" t="s">
        <v>11</v>
      </c>
      <c r="C60" s="603"/>
      <c r="D60" s="137">
        <f>SUM(D61+D64+D172+D187+D191)</f>
        <v>6180</v>
      </c>
      <c r="E60" s="137">
        <f>SUM(E61+E64)</f>
        <v>7689</v>
      </c>
      <c r="F60" s="138">
        <f t="shared" si="0"/>
        <v>1509</v>
      </c>
      <c r="G60" s="139">
        <f aca="true" t="shared" si="1" ref="G60:G65">F60*100/D60</f>
        <v>24.41747572815534</v>
      </c>
      <c r="H60" s="140"/>
      <c r="I60" s="243"/>
      <c r="J60" s="243"/>
      <c r="K60" s="142">
        <f>SUM(K61+K64)</f>
        <v>7689000</v>
      </c>
    </row>
    <row r="61" spans="1:11" ht="16.5" customHeight="1">
      <c r="A61" s="143"/>
      <c r="B61" s="193" t="s">
        <v>416</v>
      </c>
      <c r="C61" s="144" t="s">
        <v>13</v>
      </c>
      <c r="D61" s="211">
        <f>SUM(D62:D63)</f>
        <v>3780</v>
      </c>
      <c r="E61" s="203">
        <f>SUM(E62:E63)</f>
        <v>4320</v>
      </c>
      <c r="F61" s="204">
        <f t="shared" si="0"/>
        <v>540</v>
      </c>
      <c r="G61" s="146">
        <f t="shared" si="1"/>
        <v>14.285714285714286</v>
      </c>
      <c r="H61" s="205"/>
      <c r="I61" s="250"/>
      <c r="J61" s="312"/>
      <c r="K61" s="149">
        <f>SUM(K62:K63)</f>
        <v>4320000</v>
      </c>
    </row>
    <row r="62" spans="1:11" ht="18" customHeight="1">
      <c r="A62" s="150"/>
      <c r="B62" s="437"/>
      <c r="C62" s="194" t="s">
        <v>541</v>
      </c>
      <c r="D62" s="195">
        <v>1890</v>
      </c>
      <c r="E62" s="137">
        <v>2160</v>
      </c>
      <c r="F62" s="206">
        <f>E62-D62</f>
        <v>270</v>
      </c>
      <c r="G62" s="207">
        <f t="shared" si="1"/>
        <v>14.285714285714286</v>
      </c>
      <c r="H62" s="166" t="s">
        <v>542</v>
      </c>
      <c r="I62" s="211">
        <v>180000</v>
      </c>
      <c r="J62" s="211" t="s">
        <v>569</v>
      </c>
      <c r="K62" s="149">
        <f>SUM(I62*12)</f>
        <v>2160000</v>
      </c>
    </row>
    <row r="63" spans="1:11" ht="13.5" customHeight="1">
      <c r="A63" s="150"/>
      <c r="B63" s="151"/>
      <c r="C63" s="194" t="s">
        <v>667</v>
      </c>
      <c r="D63" s="195">
        <v>1890</v>
      </c>
      <c r="E63" s="137">
        <v>2160</v>
      </c>
      <c r="F63" s="206">
        <f t="shared" si="0"/>
        <v>270</v>
      </c>
      <c r="G63" s="207">
        <f t="shared" si="1"/>
        <v>14.285714285714286</v>
      </c>
      <c r="H63" s="166" t="s">
        <v>666</v>
      </c>
      <c r="I63" s="211">
        <v>180000</v>
      </c>
      <c r="J63" s="211" t="s">
        <v>569</v>
      </c>
      <c r="K63" s="149">
        <f>SUM(I63*12)</f>
        <v>2160000</v>
      </c>
    </row>
    <row r="64" spans="1:11" ht="15.75" customHeight="1">
      <c r="A64" s="208"/>
      <c r="B64" s="209" t="s">
        <v>21</v>
      </c>
      <c r="C64" s="400" t="s">
        <v>13</v>
      </c>
      <c r="D64" s="325">
        <f>SUM(D65:D76)</f>
        <v>2400</v>
      </c>
      <c r="E64" s="325">
        <f>SUM(E65:E75)</f>
        <v>3369</v>
      </c>
      <c r="F64" s="215">
        <f t="shared" si="0"/>
        <v>969</v>
      </c>
      <c r="G64" s="156">
        <f t="shared" si="1"/>
        <v>40.375</v>
      </c>
      <c r="H64" s="147"/>
      <c r="I64" s="388"/>
      <c r="J64" s="388"/>
      <c r="K64" s="149">
        <f>SUM(K65:K75)</f>
        <v>3369000</v>
      </c>
    </row>
    <row r="65" spans="1:11" ht="13.5" customHeight="1">
      <c r="A65" s="150"/>
      <c r="B65" s="225"/>
      <c r="C65" s="152" t="s">
        <v>543</v>
      </c>
      <c r="D65" s="153">
        <v>2400</v>
      </c>
      <c r="E65" s="253">
        <v>3369</v>
      </c>
      <c r="F65" s="165">
        <f t="shared" si="0"/>
        <v>969</v>
      </c>
      <c r="G65" s="156">
        <f t="shared" si="1"/>
        <v>40.375</v>
      </c>
      <c r="H65" s="425" t="s">
        <v>544</v>
      </c>
      <c r="I65" s="375">
        <v>100000</v>
      </c>
      <c r="J65" s="375" t="s">
        <v>569</v>
      </c>
      <c r="K65" s="341">
        <f>SUM(I65*12)</f>
        <v>1200000</v>
      </c>
    </row>
    <row r="66" spans="1:11" ht="13.5" customHeight="1">
      <c r="A66" s="150"/>
      <c r="B66" s="225"/>
      <c r="C66" s="163"/>
      <c r="D66" s="160"/>
      <c r="E66" s="160"/>
      <c r="F66" s="174"/>
      <c r="G66" s="175"/>
      <c r="H66" s="423" t="s">
        <v>545</v>
      </c>
      <c r="I66" s="274">
        <v>20000</v>
      </c>
      <c r="J66" s="274" t="s">
        <v>569</v>
      </c>
      <c r="K66" s="279">
        <f>SUM(I66*12)</f>
        <v>240000</v>
      </c>
    </row>
    <row r="67" spans="1:11" ht="13.5" customHeight="1">
      <c r="A67" s="150"/>
      <c r="B67" s="225"/>
      <c r="C67" s="163"/>
      <c r="D67" s="160"/>
      <c r="E67" s="160"/>
      <c r="F67" s="174"/>
      <c r="G67" s="175"/>
      <c r="H67" s="408" t="s">
        <v>198</v>
      </c>
      <c r="I67" s="274">
        <v>80000</v>
      </c>
      <c r="J67" s="274" t="s">
        <v>570</v>
      </c>
      <c r="K67" s="279">
        <f>SUM(I67*10)</f>
        <v>800000</v>
      </c>
    </row>
    <row r="68" spans="1:11" ht="13.5" customHeight="1">
      <c r="A68" s="150"/>
      <c r="B68" s="225"/>
      <c r="C68" s="163"/>
      <c r="D68" s="160"/>
      <c r="E68" s="160"/>
      <c r="F68" s="174"/>
      <c r="G68" s="175"/>
      <c r="H68" s="408" t="s">
        <v>546</v>
      </c>
      <c r="I68" s="274">
        <v>100000</v>
      </c>
      <c r="J68" s="274"/>
      <c r="K68" s="279">
        <v>100000</v>
      </c>
    </row>
    <row r="69" spans="1:11" ht="13.5" customHeight="1">
      <c r="A69" s="150"/>
      <c r="B69" s="225"/>
      <c r="C69" s="163"/>
      <c r="D69" s="160"/>
      <c r="E69" s="189"/>
      <c r="F69" s="174"/>
      <c r="G69" s="175"/>
      <c r="H69" s="366" t="s">
        <v>547</v>
      </c>
      <c r="I69" s="274">
        <v>10000</v>
      </c>
      <c r="J69" s="274" t="s">
        <v>569</v>
      </c>
      <c r="K69" s="279">
        <f>SUM(I69*12)</f>
        <v>120000</v>
      </c>
    </row>
    <row r="70" spans="1:11" ht="13.5" customHeight="1">
      <c r="A70" s="150"/>
      <c r="B70" s="225"/>
      <c r="C70" s="163"/>
      <c r="D70" s="160"/>
      <c r="E70" s="160"/>
      <c r="F70" s="174"/>
      <c r="G70" s="175"/>
      <c r="H70" s="408" t="s">
        <v>548</v>
      </c>
      <c r="I70" s="274">
        <v>30000</v>
      </c>
      <c r="J70" s="274" t="s">
        <v>571</v>
      </c>
      <c r="K70" s="279">
        <f>SUM(I70*9)</f>
        <v>270000</v>
      </c>
    </row>
    <row r="71" spans="1:11" ht="13.5" customHeight="1">
      <c r="A71" s="150"/>
      <c r="B71" s="225"/>
      <c r="C71" s="163"/>
      <c r="D71" s="160"/>
      <c r="E71" s="160"/>
      <c r="F71" s="174"/>
      <c r="G71" s="175"/>
      <c r="H71" s="366" t="s">
        <v>549</v>
      </c>
      <c r="I71" s="274">
        <v>20000</v>
      </c>
      <c r="J71" s="274" t="s">
        <v>569</v>
      </c>
      <c r="K71" s="279">
        <f>SUM(I71*12)</f>
        <v>240000</v>
      </c>
    </row>
    <row r="72" spans="1:11" ht="13.5" customHeight="1">
      <c r="A72" s="150"/>
      <c r="B72" s="225"/>
      <c r="C72" s="163"/>
      <c r="D72" s="160"/>
      <c r="E72" s="160"/>
      <c r="F72" s="174"/>
      <c r="G72" s="175"/>
      <c r="H72" s="366" t="s">
        <v>550</v>
      </c>
      <c r="I72" s="274">
        <v>180000</v>
      </c>
      <c r="J72" s="274"/>
      <c r="K72" s="279">
        <v>180000</v>
      </c>
    </row>
    <row r="73" spans="1:11" ht="13.5" customHeight="1">
      <c r="A73" s="150"/>
      <c r="B73" s="225"/>
      <c r="C73" s="163"/>
      <c r="D73" s="160"/>
      <c r="E73" s="160"/>
      <c r="F73" s="174"/>
      <c r="G73" s="175"/>
      <c r="H73" s="366" t="s">
        <v>551</v>
      </c>
      <c r="I73" s="274">
        <v>10000</v>
      </c>
      <c r="J73" s="274" t="s">
        <v>572</v>
      </c>
      <c r="K73" s="279">
        <f>SUM(I73*4)</f>
        <v>40000</v>
      </c>
    </row>
    <row r="74" spans="1:11" ht="13.5" customHeight="1">
      <c r="A74" s="150"/>
      <c r="B74" s="225"/>
      <c r="C74" s="163"/>
      <c r="D74" s="160"/>
      <c r="E74" s="160"/>
      <c r="F74" s="174"/>
      <c r="G74" s="175"/>
      <c r="H74" s="408" t="s">
        <v>552</v>
      </c>
      <c r="I74" s="274">
        <v>30000</v>
      </c>
      <c r="J74" s="274" t="s">
        <v>573</v>
      </c>
      <c r="K74" s="279">
        <f>SUM(I74*2)</f>
        <v>60000</v>
      </c>
    </row>
    <row r="75" spans="1:11" ht="13.5" customHeight="1">
      <c r="A75" s="442"/>
      <c r="B75" s="443"/>
      <c r="C75" s="177"/>
      <c r="D75" s="162"/>
      <c r="E75" s="162"/>
      <c r="F75" s="200"/>
      <c r="G75" s="139"/>
      <c r="H75" s="197" t="s">
        <v>553</v>
      </c>
      <c r="I75" s="136"/>
      <c r="J75" s="136"/>
      <c r="K75" s="142">
        <v>119000</v>
      </c>
    </row>
    <row r="76" spans="1:11" ht="13.5" customHeight="1" thickBot="1">
      <c r="A76" s="399" t="s">
        <v>228</v>
      </c>
      <c r="B76" s="444" t="s">
        <v>557</v>
      </c>
      <c r="C76" s="216" t="s">
        <v>558</v>
      </c>
      <c r="D76" s="217">
        <v>0</v>
      </c>
      <c r="E76" s="217">
        <v>1474</v>
      </c>
      <c r="F76" s="220">
        <f>E76-D76</f>
        <v>1474</v>
      </c>
      <c r="G76" s="218">
        <v>0</v>
      </c>
      <c r="H76" s="228" t="s">
        <v>522</v>
      </c>
      <c r="I76" s="286"/>
      <c r="J76" s="286"/>
      <c r="K76" s="287">
        <v>1473836</v>
      </c>
    </row>
    <row r="77" spans="1:11" ht="27.75" customHeight="1">
      <c r="A77" s="556" t="s">
        <v>840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</row>
    <row r="78" spans="1:11" ht="19.5" customHeight="1" thickBot="1">
      <c r="A78" s="557" t="s">
        <v>35</v>
      </c>
      <c r="B78" s="557"/>
      <c r="C78" s="557"/>
      <c r="D78" s="557"/>
      <c r="E78" s="557"/>
      <c r="F78" s="557"/>
      <c r="G78" s="557"/>
      <c r="H78" s="557"/>
      <c r="I78" s="557"/>
      <c r="J78" s="557"/>
      <c r="K78" s="557"/>
    </row>
    <row r="79" spans="1:11" ht="13.5">
      <c r="A79" s="578" t="s">
        <v>5</v>
      </c>
      <c r="B79" s="580" t="s">
        <v>6</v>
      </c>
      <c r="C79" s="580" t="s">
        <v>7</v>
      </c>
      <c r="D79" s="580" t="s">
        <v>37</v>
      </c>
      <c r="E79" s="580" t="s">
        <v>36</v>
      </c>
      <c r="F79" s="582" t="s">
        <v>38</v>
      </c>
      <c r="G79" s="598"/>
      <c r="H79" s="584" t="s">
        <v>39</v>
      </c>
      <c r="I79" s="585"/>
      <c r="J79" s="585"/>
      <c r="K79" s="586"/>
    </row>
    <row r="80" spans="1:11" ht="14.25" thickBot="1">
      <c r="A80" s="605"/>
      <c r="B80" s="597"/>
      <c r="C80" s="597"/>
      <c r="D80" s="597"/>
      <c r="E80" s="597"/>
      <c r="F80" s="132" t="s">
        <v>9</v>
      </c>
      <c r="G80" s="133" t="s">
        <v>40</v>
      </c>
      <c r="H80" s="587"/>
      <c r="I80" s="588"/>
      <c r="J80" s="588"/>
      <c r="K80" s="589"/>
    </row>
    <row r="81" spans="1:11" ht="22.5" customHeight="1" thickBot="1" thickTop="1">
      <c r="A81" s="590" t="s">
        <v>262</v>
      </c>
      <c r="B81" s="604"/>
      <c r="C81" s="592"/>
      <c r="D81" s="376">
        <f>SUM(D82+D85+D96+D98+D101)</f>
        <v>54654</v>
      </c>
      <c r="E81" s="376">
        <f>SUM(E82+E85+E96+E98+E101)</f>
        <v>57736</v>
      </c>
      <c r="F81" s="394">
        <f aca="true" t="shared" si="2" ref="F81:F87">E81-D81</f>
        <v>3082</v>
      </c>
      <c r="G81" s="134">
        <f aca="true" t="shared" si="3" ref="G81:G87">F81*100/D81</f>
        <v>5.6391115014454565</v>
      </c>
      <c r="H81" s="135"/>
      <c r="I81" s="395"/>
      <c r="J81" s="395"/>
      <c r="K81" s="379">
        <f>SUM(K82+K85+K96+K98+K101)</f>
        <v>57735579</v>
      </c>
    </row>
    <row r="82" spans="1:11" ht="17.25" customHeight="1">
      <c r="A82" s="401" t="s">
        <v>263</v>
      </c>
      <c r="B82" s="599" t="s">
        <v>11</v>
      </c>
      <c r="C82" s="594"/>
      <c r="D82" s="136">
        <f>SUM(D84:D84)</f>
        <v>15600</v>
      </c>
      <c r="E82" s="137">
        <f>SUM(E83+E116+E153+E189+E193+E220)</f>
        <v>19200</v>
      </c>
      <c r="F82" s="138">
        <f t="shared" si="2"/>
        <v>3600</v>
      </c>
      <c r="G82" s="139">
        <f t="shared" si="3"/>
        <v>23.076923076923077</v>
      </c>
      <c r="H82" s="397" t="s">
        <v>233</v>
      </c>
      <c r="I82" s="141"/>
      <c r="J82" s="141"/>
      <c r="K82" s="142">
        <f>SUM(K84:K84)</f>
        <v>19200000</v>
      </c>
    </row>
    <row r="83" spans="1:11" ht="22.5" customHeight="1">
      <c r="A83" s="402" t="s">
        <v>264</v>
      </c>
      <c r="B83" s="193" t="s">
        <v>341</v>
      </c>
      <c r="C83" s="144" t="s">
        <v>13</v>
      </c>
      <c r="D83" s="203">
        <f>SUM(D84:D84)</f>
        <v>15600</v>
      </c>
      <c r="E83" s="203">
        <f>SUM(E84:E84)</f>
        <v>19200</v>
      </c>
      <c r="F83" s="204">
        <f t="shared" si="2"/>
        <v>3600</v>
      </c>
      <c r="G83" s="146">
        <f t="shared" si="3"/>
        <v>23.076923076923077</v>
      </c>
      <c r="H83" s="398"/>
      <c r="I83" s="148"/>
      <c r="J83" s="148"/>
      <c r="K83" s="149">
        <f>SUM(K84:K84)</f>
        <v>19200000</v>
      </c>
    </row>
    <row r="84" spans="1:11" ht="22.5" customHeight="1">
      <c r="A84" s="442"/>
      <c r="B84" s="196"/>
      <c r="C84" s="194" t="s">
        <v>265</v>
      </c>
      <c r="D84" s="195">
        <v>15600</v>
      </c>
      <c r="E84" s="445">
        <v>19200</v>
      </c>
      <c r="F84" s="145">
        <f t="shared" si="2"/>
        <v>3600</v>
      </c>
      <c r="G84" s="146">
        <f t="shared" si="3"/>
        <v>23.076923076923077</v>
      </c>
      <c r="H84" s="166" t="s">
        <v>554</v>
      </c>
      <c r="I84" s="157">
        <v>200000</v>
      </c>
      <c r="J84" s="157" t="s">
        <v>665</v>
      </c>
      <c r="K84" s="149">
        <f>SUM(I84*8*12)</f>
        <v>19200000</v>
      </c>
    </row>
    <row r="85" spans="1:11" ht="16.5" customHeight="1">
      <c r="A85" s="270" t="s">
        <v>559</v>
      </c>
      <c r="B85" s="600" t="s">
        <v>560</v>
      </c>
      <c r="C85" s="601"/>
      <c r="D85" s="137">
        <f>SUM(D87+D90+D93)</f>
        <v>36175</v>
      </c>
      <c r="E85" s="137">
        <f>SUM(E86+E93)</f>
        <v>37668</v>
      </c>
      <c r="F85" s="240">
        <f t="shared" si="2"/>
        <v>1493</v>
      </c>
      <c r="G85" s="241">
        <f t="shared" si="3"/>
        <v>4.127159640635798</v>
      </c>
      <c r="H85" s="380" t="s">
        <v>561</v>
      </c>
      <c r="I85" s="243"/>
      <c r="J85" s="243"/>
      <c r="K85" s="142">
        <f>SUM(K86+K93)</f>
        <v>37668000</v>
      </c>
    </row>
    <row r="86" spans="1:11" ht="16.5" customHeight="1">
      <c r="A86" s="270" t="s">
        <v>562</v>
      </c>
      <c r="B86" s="219" t="s">
        <v>563</v>
      </c>
      <c r="C86" s="232" t="s">
        <v>564</v>
      </c>
      <c r="D86" s="203">
        <f>SUM(D87+D90+D93)</f>
        <v>36175</v>
      </c>
      <c r="E86" s="203">
        <f>SUM(E87+E90)</f>
        <v>37668</v>
      </c>
      <c r="F86" s="326">
        <f t="shared" si="2"/>
        <v>1493</v>
      </c>
      <c r="G86" s="256">
        <f t="shared" si="3"/>
        <v>4.127159640635798</v>
      </c>
      <c r="H86" s="249"/>
      <c r="I86" s="250"/>
      <c r="J86" s="250"/>
      <c r="K86" s="149">
        <f>SUM(K87+K90)</f>
        <v>37668000</v>
      </c>
    </row>
    <row r="87" spans="1:11" ht="13.5">
      <c r="A87" s="251"/>
      <c r="B87" s="280"/>
      <c r="C87" s="230" t="s">
        <v>565</v>
      </c>
      <c r="D87" s="253">
        <v>33075</v>
      </c>
      <c r="E87" s="298">
        <v>34068</v>
      </c>
      <c r="F87" s="326">
        <f t="shared" si="2"/>
        <v>993</v>
      </c>
      <c r="G87" s="256">
        <f t="shared" si="3"/>
        <v>3.002267573696145</v>
      </c>
      <c r="H87" s="431"/>
      <c r="I87" s="375"/>
      <c r="J87" s="375"/>
      <c r="K87" s="341">
        <v>34068000</v>
      </c>
    </row>
    <row r="88" spans="1:11" ht="13.5">
      <c r="A88" s="251"/>
      <c r="B88" s="280"/>
      <c r="C88" s="226"/>
      <c r="D88" s="257"/>
      <c r="E88" s="298"/>
      <c r="F88" s="277"/>
      <c r="G88" s="278"/>
      <c r="H88" s="423" t="s">
        <v>663</v>
      </c>
      <c r="I88" s="274"/>
      <c r="J88" s="274"/>
      <c r="K88" s="279">
        <v>34068000</v>
      </c>
    </row>
    <row r="89" spans="1:11" ht="13.5">
      <c r="A89" s="251"/>
      <c r="B89" s="280"/>
      <c r="C89" s="259"/>
      <c r="D89" s="260"/>
      <c r="E89" s="137"/>
      <c r="F89" s="311"/>
      <c r="G89" s="241"/>
      <c r="H89" s="212"/>
      <c r="I89" s="136"/>
      <c r="J89" s="136"/>
      <c r="K89" s="142"/>
    </row>
    <row r="90" spans="1:11" ht="13.5">
      <c r="A90" s="251"/>
      <c r="B90" s="252"/>
      <c r="C90" s="230" t="s">
        <v>566</v>
      </c>
      <c r="D90" s="253">
        <v>3100</v>
      </c>
      <c r="E90" s="325">
        <v>3600</v>
      </c>
      <c r="F90" s="262">
        <f>E90-D90</f>
        <v>500</v>
      </c>
      <c r="G90" s="256">
        <f>F90*100/D90</f>
        <v>16.129032258064516</v>
      </c>
      <c r="H90" s="374"/>
      <c r="I90" s="375"/>
      <c r="J90" s="375"/>
      <c r="K90" s="341">
        <f>SUM(K91:K92)</f>
        <v>3600000</v>
      </c>
    </row>
    <row r="91" spans="1:11" ht="13.5">
      <c r="A91" s="251"/>
      <c r="B91" s="252"/>
      <c r="C91" s="226"/>
      <c r="D91" s="257"/>
      <c r="E91" s="298"/>
      <c r="F91" s="277"/>
      <c r="G91" s="278"/>
      <c r="H91" s="366" t="s">
        <v>662</v>
      </c>
      <c r="I91" s="274">
        <v>100000</v>
      </c>
      <c r="J91" s="274" t="s">
        <v>661</v>
      </c>
      <c r="K91" s="279">
        <f>SUM(I91*3*12)</f>
        <v>3600000</v>
      </c>
    </row>
    <row r="92" spans="1:11" ht="13.5">
      <c r="A92" s="251"/>
      <c r="B92" s="307"/>
      <c r="C92" s="259"/>
      <c r="D92" s="260"/>
      <c r="E92" s="137"/>
      <c r="F92" s="311"/>
      <c r="G92" s="241"/>
      <c r="H92" s="212"/>
      <c r="I92" s="136"/>
      <c r="J92" s="136"/>
      <c r="K92" s="142"/>
    </row>
    <row r="93" spans="1:11" ht="17.25" customHeight="1">
      <c r="A93" s="270"/>
      <c r="B93" s="233" t="s">
        <v>567</v>
      </c>
      <c r="C93" s="252" t="s">
        <v>564</v>
      </c>
      <c r="D93" s="137">
        <f>SUM(D94)</f>
        <v>0</v>
      </c>
      <c r="E93" s="137">
        <v>0</v>
      </c>
      <c r="F93" s="387">
        <f>E93-D93</f>
        <v>0</v>
      </c>
      <c r="G93" s="278">
        <v>0</v>
      </c>
      <c r="H93" s="380"/>
      <c r="I93" s="312"/>
      <c r="J93" s="312"/>
      <c r="K93" s="149">
        <f>SUM(K94)</f>
        <v>0</v>
      </c>
    </row>
    <row r="94" spans="1:11" ht="13.5">
      <c r="A94" s="251"/>
      <c r="B94" s="252"/>
      <c r="C94" s="230" t="s">
        <v>568</v>
      </c>
      <c r="D94" s="253">
        <v>0</v>
      </c>
      <c r="E94" s="325">
        <v>0</v>
      </c>
      <c r="F94" s="262">
        <f>E94-D94</f>
        <v>0</v>
      </c>
      <c r="G94" s="256">
        <v>0</v>
      </c>
      <c r="H94" s="263">
        <v>0</v>
      </c>
      <c r="I94" s="211"/>
      <c r="J94" s="211"/>
      <c r="K94" s="149">
        <v>0</v>
      </c>
    </row>
    <row r="95" spans="1:11" ht="13.5">
      <c r="A95" s="413"/>
      <c r="B95" s="307"/>
      <c r="C95" s="259"/>
      <c r="D95" s="260"/>
      <c r="E95" s="137"/>
      <c r="F95" s="311"/>
      <c r="G95" s="241"/>
      <c r="H95" s="381">
        <v>0</v>
      </c>
      <c r="I95" s="388"/>
      <c r="J95" s="388"/>
      <c r="K95" s="149">
        <v>0</v>
      </c>
    </row>
    <row r="96" spans="1:11" ht="15.75" customHeight="1">
      <c r="A96" s="221" t="s">
        <v>237</v>
      </c>
      <c r="B96" s="403" t="s">
        <v>11</v>
      </c>
      <c r="C96" s="404"/>
      <c r="D96" s="137">
        <f>SUM(D97)</f>
        <v>0</v>
      </c>
      <c r="E96" s="137">
        <f>SUM(E97)</f>
        <v>0</v>
      </c>
      <c r="F96" s="138">
        <f aca="true" t="shared" si="4" ref="F96:F104">E96-D96</f>
        <v>0</v>
      </c>
      <c r="G96" s="190"/>
      <c r="H96" s="397"/>
      <c r="I96" s="141"/>
      <c r="J96" s="141"/>
      <c r="K96" s="142"/>
    </row>
    <row r="97" spans="1:11" ht="16.5" customHeight="1">
      <c r="A97" s="442"/>
      <c r="B97" s="446" t="s">
        <v>31</v>
      </c>
      <c r="C97" s="430" t="s">
        <v>529</v>
      </c>
      <c r="D97" s="211">
        <v>0</v>
      </c>
      <c r="E97" s="203">
        <v>0</v>
      </c>
      <c r="F97" s="204">
        <f t="shared" si="4"/>
        <v>0</v>
      </c>
      <c r="G97" s="146">
        <v>0</v>
      </c>
      <c r="H97" s="398"/>
      <c r="I97" s="447"/>
      <c r="J97" s="447"/>
      <c r="K97" s="149"/>
    </row>
    <row r="98" spans="1:11" ht="18" customHeight="1">
      <c r="A98" s="221" t="s">
        <v>238</v>
      </c>
      <c r="B98" s="192" t="s">
        <v>11</v>
      </c>
      <c r="C98" s="404"/>
      <c r="D98" s="137">
        <f>SUM(D100:D100)</f>
        <v>2876</v>
      </c>
      <c r="E98" s="137">
        <f>SUM(E100:E100)</f>
        <v>865</v>
      </c>
      <c r="F98" s="138">
        <f t="shared" si="4"/>
        <v>-2011</v>
      </c>
      <c r="G98" s="139">
        <f aca="true" t="shared" si="5" ref="G98:G103">F98*100/D98</f>
        <v>-69.92350486787204</v>
      </c>
      <c r="H98" s="397" t="s">
        <v>473</v>
      </c>
      <c r="I98" s="141"/>
      <c r="J98" s="141"/>
      <c r="K98" s="142">
        <v>864579</v>
      </c>
    </row>
    <row r="99" spans="1:11" ht="13.5">
      <c r="A99" s="221"/>
      <c r="B99" s="405" t="s">
        <v>15</v>
      </c>
      <c r="C99" s="210" t="s">
        <v>13</v>
      </c>
      <c r="D99" s="203">
        <f>SUM(D100:D100)</f>
        <v>2876</v>
      </c>
      <c r="E99" s="203">
        <f>SUM(E100:E100)</f>
        <v>865</v>
      </c>
      <c r="F99" s="204">
        <f t="shared" si="4"/>
        <v>-2011</v>
      </c>
      <c r="G99" s="146">
        <f t="shared" si="5"/>
        <v>-69.92350486787204</v>
      </c>
      <c r="H99" s="398"/>
      <c r="I99" s="406"/>
      <c r="J99" s="407"/>
      <c r="K99" s="149">
        <v>864579</v>
      </c>
    </row>
    <row r="100" spans="1:11" ht="17.25" customHeight="1">
      <c r="A100" s="448"/>
      <c r="B100" s="439"/>
      <c r="C100" s="449" t="s">
        <v>257</v>
      </c>
      <c r="D100" s="157">
        <v>2876</v>
      </c>
      <c r="E100" s="445">
        <v>865</v>
      </c>
      <c r="F100" s="204">
        <f t="shared" si="4"/>
        <v>-2011</v>
      </c>
      <c r="G100" s="146">
        <f t="shared" si="5"/>
        <v>-69.92350486787204</v>
      </c>
      <c r="H100" s="398" t="s">
        <v>530</v>
      </c>
      <c r="I100" s="450"/>
      <c r="J100" s="450"/>
      <c r="K100" s="149">
        <v>864579</v>
      </c>
    </row>
    <row r="101" spans="1:11" ht="18" customHeight="1">
      <c r="A101" s="299" t="s">
        <v>239</v>
      </c>
      <c r="B101" s="304" t="s">
        <v>11</v>
      </c>
      <c r="C101" s="239"/>
      <c r="D101" s="137">
        <f>SUM(D103:D105)</f>
        <v>3</v>
      </c>
      <c r="E101" s="137">
        <f>SUM(E103:E105)</f>
        <v>3</v>
      </c>
      <c r="F101" s="240">
        <f t="shared" si="4"/>
        <v>0</v>
      </c>
      <c r="G101" s="241">
        <f t="shared" si="5"/>
        <v>0</v>
      </c>
      <c r="H101" s="380" t="s">
        <v>242</v>
      </c>
      <c r="I101" s="243"/>
      <c r="J101" s="243"/>
      <c r="K101" s="142">
        <f>SUM(K103:K105)</f>
        <v>3000</v>
      </c>
    </row>
    <row r="102" spans="1:11" ht="17.25" customHeight="1">
      <c r="A102" s="410"/>
      <c r="B102" s="383" t="s">
        <v>17</v>
      </c>
      <c r="C102" s="321" t="s">
        <v>13</v>
      </c>
      <c r="D102" s="203">
        <f>SUM(D103:D105)</f>
        <v>3</v>
      </c>
      <c r="E102" s="203">
        <f>SUM(E103:E105)</f>
        <v>3</v>
      </c>
      <c r="F102" s="315">
        <f t="shared" si="4"/>
        <v>0</v>
      </c>
      <c r="G102" s="248">
        <f t="shared" si="5"/>
        <v>0</v>
      </c>
      <c r="H102" s="381"/>
      <c r="I102" s="250"/>
      <c r="J102" s="243"/>
      <c r="K102" s="149">
        <f>SUM(K103:K105)</f>
        <v>3000</v>
      </c>
    </row>
    <row r="103" spans="1:11" ht="17.25" customHeight="1">
      <c r="A103" s="410"/>
      <c r="B103" s="297"/>
      <c r="C103" s="393" t="s">
        <v>240</v>
      </c>
      <c r="D103" s="211">
        <v>3</v>
      </c>
      <c r="E103" s="203">
        <v>3</v>
      </c>
      <c r="F103" s="315">
        <f t="shared" si="4"/>
        <v>0</v>
      </c>
      <c r="G103" s="248">
        <f t="shared" si="5"/>
        <v>0</v>
      </c>
      <c r="H103" s="381" t="s">
        <v>474</v>
      </c>
      <c r="I103" s="250"/>
      <c r="J103" s="312"/>
      <c r="K103" s="149">
        <v>3000</v>
      </c>
    </row>
    <row r="104" spans="1:11" ht="17.25" customHeight="1" thickBot="1">
      <c r="A104" s="411"/>
      <c r="B104" s="382"/>
      <c r="C104" s="392" t="s">
        <v>19</v>
      </c>
      <c r="D104" s="286">
        <v>0</v>
      </c>
      <c r="E104" s="389">
        <v>0</v>
      </c>
      <c r="F104" s="390">
        <f t="shared" si="4"/>
        <v>0</v>
      </c>
      <c r="G104" s="333">
        <v>0</v>
      </c>
      <c r="H104" s="412" t="s">
        <v>556</v>
      </c>
      <c r="I104" s="391"/>
      <c r="J104" s="391"/>
      <c r="K104" s="287">
        <v>0</v>
      </c>
    </row>
  </sheetData>
  <mergeCells count="31">
    <mergeCell ref="H79:K80"/>
    <mergeCell ref="B82:C82"/>
    <mergeCell ref="B85:C85"/>
    <mergeCell ref="B60:C60"/>
    <mergeCell ref="A77:K77"/>
    <mergeCell ref="A78:K78"/>
    <mergeCell ref="A81:C81"/>
    <mergeCell ref="A79:A80"/>
    <mergeCell ref="B79:B80"/>
    <mergeCell ref="C79:C80"/>
    <mergeCell ref="D79:D80"/>
    <mergeCell ref="E79:E80"/>
    <mergeCell ref="F79:G79"/>
    <mergeCell ref="D41:D42"/>
    <mergeCell ref="E41:E42"/>
    <mergeCell ref="F41:G41"/>
    <mergeCell ref="H41:K42"/>
    <mergeCell ref="A5:C5"/>
    <mergeCell ref="B6:C6"/>
    <mergeCell ref="A41:A42"/>
    <mergeCell ref="B41:B42"/>
    <mergeCell ref="C41:C42"/>
    <mergeCell ref="A1:K1"/>
    <mergeCell ref="A2:K2"/>
    <mergeCell ref="A3:A4"/>
    <mergeCell ref="B3:B4"/>
    <mergeCell ref="C3:C4"/>
    <mergeCell ref="D3:D4"/>
    <mergeCell ref="E3:E4"/>
    <mergeCell ref="F3:G3"/>
    <mergeCell ref="H3:K4"/>
  </mergeCells>
  <printOptions/>
  <pageMargins left="0.15748031496062992" right="0.15748031496062992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기본값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기본값</dc:creator>
  <cp:keywords/>
  <dc:description/>
  <cp:lastModifiedBy>신정원</cp:lastModifiedBy>
  <cp:lastPrinted>2006-11-13T01:05:27Z</cp:lastPrinted>
  <dcterms:created xsi:type="dcterms:W3CDTF">2005-12-02T03:15:26Z</dcterms:created>
  <dcterms:modified xsi:type="dcterms:W3CDTF">2006-11-13T01:07:18Z</dcterms:modified>
  <cp:category/>
  <cp:version/>
  <cp:contentType/>
  <cp:contentStatus/>
</cp:coreProperties>
</file>